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9660" windowHeight="5496" activeTab="0"/>
  </bookViews>
  <sheets>
    <sheet name="Stavební rozpočet" sheetId="1" r:id="rId1"/>
    <sheet name="Rozpočet - Skupiny a položky" sheetId="2" r:id="rId2"/>
    <sheet name="Výkaz výměr" sheetId="3" r:id="rId3"/>
    <sheet name="Krycí list rozpočtu" sheetId="4" r:id="rId4"/>
  </sheets>
  <definedNames/>
  <calcPr fullCalcOnLoad="1"/>
</workbook>
</file>

<file path=xl/sharedStrings.xml><?xml version="1.0" encoding="utf-8"?>
<sst xmlns="http://schemas.openxmlformats.org/spreadsheetml/2006/main" count="2648" uniqueCount="515">
  <si>
    <t>Slepý stavební rozpočet</t>
  </si>
  <si>
    <t>Název stavby:</t>
  </si>
  <si>
    <t>Druh stavby:</t>
  </si>
  <si>
    <t>Lokalita:</t>
  </si>
  <si>
    <t>JKSO:</t>
  </si>
  <si>
    <t>Č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</si>
  <si>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</si>
  <si>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</si>
  <si>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</si>
  <si>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</si>
  <si>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</si>
  <si>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</si>
  <si>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</si>
  <si>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</si>
  <si>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</si>
  <si>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</si>
  <si>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</si>
  <si>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</si>
  <si>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</si>
  <si>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</si>
  <si>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</si>
  <si>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</si>
  <si>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</si>
  <si>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</si>
  <si>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</si>
  <si>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</si>
  <si>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</si>
  <si>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</si>
  <si>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</si>
  <si>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</si>
  <si>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</si>
  <si>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</si>
  <si>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</si>
  <si>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</si>
  <si>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</si>
  <si>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</si>
  <si>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</si>
  <si>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</si>
  <si>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</si>
  <si>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</si>
  <si>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</si>
  <si>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</si>
  <si>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</si>
  <si>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</si>
  <si>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</si>
  <si>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</si>
  <si>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</si>
  <si>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</si>
  <si>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</si>
  <si>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</si>
  <si>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</si>
  <si>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</si>
  <si>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</si>
  <si>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</si>
  <si>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</si>
  <si>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</si>
  <si>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</si>
  <si>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</si>
  <si>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</si>
  <si>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</si>
  <si>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</si>
  <si>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</si>
  <si>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</si>
  <si>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</si>
  <si>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</si>
  <si>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</si>
  <si>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</si>
  <si>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</si>
  <si>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</si>
  <si>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</si>
  <si>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Poznámka:</t>
  </si>
  <si>
    <t>Kód</t>
  </si>
  <si>
    <t>64</t>
  </si>
  <si>
    <t>642942111RT5</t>
  </si>
  <si>
    <t>766</t>
  </si>
  <si>
    <t>766661112R00</t>
  </si>
  <si>
    <t>611601204</t>
  </si>
  <si>
    <t>76666213R-02</t>
  </si>
  <si>
    <t>611604R-03</t>
  </si>
  <si>
    <t>998766102R00</t>
  </si>
  <si>
    <t>771</t>
  </si>
  <si>
    <t>771101115R00</t>
  </si>
  <si>
    <t>771101121R00</t>
  </si>
  <si>
    <t>771101116R00</t>
  </si>
  <si>
    <t>771212113R00</t>
  </si>
  <si>
    <t>597642030</t>
  </si>
  <si>
    <t>998771102R00</t>
  </si>
  <si>
    <t>784</t>
  </si>
  <si>
    <t>784402801R00</t>
  </si>
  <si>
    <t>784161101R00</t>
  </si>
  <si>
    <t>784164112R00</t>
  </si>
  <si>
    <t>94</t>
  </si>
  <si>
    <t>941955001R00</t>
  </si>
  <si>
    <t>95</t>
  </si>
  <si>
    <t>952901111R00</t>
  </si>
  <si>
    <t>96</t>
  </si>
  <si>
    <t>968062456R00</t>
  </si>
  <si>
    <t>962032241R00</t>
  </si>
  <si>
    <t>967031142R00</t>
  </si>
  <si>
    <t>962081131R00</t>
  </si>
  <si>
    <t>97</t>
  </si>
  <si>
    <t>974032666R00</t>
  </si>
  <si>
    <t>974031132R00</t>
  </si>
  <si>
    <t>H99</t>
  </si>
  <si>
    <t>999281111R00</t>
  </si>
  <si>
    <t>S</t>
  </si>
  <si>
    <t>979082111R00</t>
  </si>
  <si>
    <t>979083117R00</t>
  </si>
  <si>
    <t>979087112R00</t>
  </si>
  <si>
    <t>979990101R00</t>
  </si>
  <si>
    <t>311271187RT4</t>
  </si>
  <si>
    <t>311271175R00</t>
  </si>
  <si>
    <t>6419513R-04</t>
  </si>
  <si>
    <t>6419514R-05</t>
  </si>
  <si>
    <t>6419522R-06</t>
  </si>
  <si>
    <t>6419523R-07</t>
  </si>
  <si>
    <t>6419524R-08</t>
  </si>
  <si>
    <t>641952551R00</t>
  </si>
  <si>
    <t>6419542R-11</t>
  </si>
  <si>
    <t>6419543R-12</t>
  </si>
  <si>
    <t>6419544R-13</t>
  </si>
  <si>
    <t>6419545R-14</t>
  </si>
  <si>
    <t>6419600R-15</t>
  </si>
  <si>
    <t>6419600R-16</t>
  </si>
  <si>
    <t>786</t>
  </si>
  <si>
    <t>786622113R00</t>
  </si>
  <si>
    <t>M21</t>
  </si>
  <si>
    <t>210800106RT1</t>
  </si>
  <si>
    <t>210201R-17</t>
  </si>
  <si>
    <t>610991111R00</t>
  </si>
  <si>
    <t>612421131R00</t>
  </si>
  <si>
    <t>612423631R00</t>
  </si>
  <si>
    <t>6209911R16</t>
  </si>
  <si>
    <t>725</t>
  </si>
  <si>
    <t>725210912R00</t>
  </si>
  <si>
    <t>784164122R00</t>
  </si>
  <si>
    <t>784165512R00</t>
  </si>
  <si>
    <t>784402802R00</t>
  </si>
  <si>
    <t>784403802R00</t>
  </si>
  <si>
    <t>962031116R00</t>
  </si>
  <si>
    <t>978013111R00</t>
  </si>
  <si>
    <t>999281148R00</t>
  </si>
  <si>
    <t>VÝMĚNA OKEN A VCHODOVÝCH DVEŘÍ,</t>
  </si>
  <si>
    <t>ÚPRAVA VESTIBULU A VNITŘNÍ MALBY</t>
  </si>
  <si>
    <t>ZŠ DOLNÍ POUSTEVNA Č.P.142</t>
  </si>
  <si>
    <t>Zkrácený popis</t>
  </si>
  <si>
    <t>Rozměry</t>
  </si>
  <si>
    <t>STAVEBNÍ ÚPRAVY VESTIBULU</t>
  </si>
  <si>
    <t>Výplně otvorů</t>
  </si>
  <si>
    <t>Osazení zárubní dveřních ocelových, pl. do 2,5 m2</t>
  </si>
  <si>
    <t>1   D5  včetně dodávkiy zárubní</t>
  </si>
  <si>
    <t>Konstrukce truhlářské</t>
  </si>
  <si>
    <t>Montáž dveří do zárubně,otevíravých 1kř.do 0,8 m</t>
  </si>
  <si>
    <t>1   D5</t>
  </si>
  <si>
    <t>Dveře vnitřní protipožární EW C 30 DP3 1kř. 90x197 cm</t>
  </si>
  <si>
    <t>1   D5 dle PD</t>
  </si>
  <si>
    <t>Osazení  stěny s dveřma dle PD D4</t>
  </si>
  <si>
    <t>1   D4</t>
  </si>
  <si>
    <t>Stěna s dveřmi dle PD  D4</t>
  </si>
  <si>
    <t>Přesun hmot pro truhlářské konstr., výšky do 12 m</t>
  </si>
  <si>
    <t>0,094</t>
  </si>
  <si>
    <t>Podlahy z dlaždic</t>
  </si>
  <si>
    <t>Vyrovnání podkladů samonivel. hmotou tl. do 10 mm</t>
  </si>
  <si>
    <t>1,1*0,46</t>
  </si>
  <si>
    <t>2,45*0,5</t>
  </si>
  <si>
    <t>Provedení penetrace podkladu</t>
  </si>
  <si>
    <t>1,731</t>
  </si>
  <si>
    <t>Doplnění podkladů samonivel. hmotou tl. do 30 mm</t>
  </si>
  <si>
    <t>Kladení dlažby keramické do TM, vel. do 300x300</t>
  </si>
  <si>
    <t>Dlažba protiskluzná matná 300x300x9 mm</t>
  </si>
  <si>
    <t>;ztratné 50%; 0,8655</t>
  </si>
  <si>
    <t>Přesun hmot pro podlahy z dlaždic, výšky do 12 m</t>
  </si>
  <si>
    <t>0,05</t>
  </si>
  <si>
    <t>Malby</t>
  </si>
  <si>
    <t>Odstranění malby oškrábáním v místnosti H do 3,8 m</t>
  </si>
  <si>
    <t>3,01*6,22   strop</t>
  </si>
  <si>
    <t>(6,22+6,22+3,01+3,01)*3,6   stěny</t>
  </si>
  <si>
    <t>-(1,6+1,8+2,45*2,05+1,44*2,1)   odpočet dveří</t>
  </si>
  <si>
    <t>Penetrace podkladu nátěrem , A - Grund 1x</t>
  </si>
  <si>
    <t>73,731</t>
  </si>
  <si>
    <t>Malba latexová  univerzál., bílá, bez penetr.2x</t>
  </si>
  <si>
    <t>Lešení a stavební výtahy</t>
  </si>
  <si>
    <t>Lešení lehké pomocné, výška podlahy do 1,2 m</t>
  </si>
  <si>
    <t>6+4+4</t>
  </si>
  <si>
    <t>Různé dokončovací konstrukce a práce na pozemních stavbách</t>
  </si>
  <si>
    <t>Vyčištění budov o výšce podlaží do 4 m</t>
  </si>
  <si>
    <t>19,02</t>
  </si>
  <si>
    <t>Bourání konstrukcí</t>
  </si>
  <si>
    <t>Vybourání dřevěných dveřních zárubní pl. nad 2 m2</t>
  </si>
  <si>
    <t>1,44*2,8+1,25*1,97</t>
  </si>
  <si>
    <t>Bourání zdiva z cihel pálených na MC</t>
  </si>
  <si>
    <t>1,1*2*0,45</t>
  </si>
  <si>
    <t>Přisekání rovných ostění cihelných na MC</t>
  </si>
  <si>
    <t>0,45*2*2+0,5*2*2</t>
  </si>
  <si>
    <t>Bourání příček ze skleněných tvárnic tl. 10 cm</t>
  </si>
  <si>
    <t>0,5*2,1*2</t>
  </si>
  <si>
    <t>Prorážení otvorů a ostatní bourací práce</t>
  </si>
  <si>
    <t>Vysekání rýh zeď  cihly vtah. nosníků 15x25 cm</t>
  </si>
  <si>
    <t>2,45*4+1,5*4</t>
  </si>
  <si>
    <t>Vysekání rýh ve zdi cihelné 5 x 7 cm</t>
  </si>
  <si>
    <t>200</t>
  </si>
  <si>
    <t>Ostatní přesuny hmot</t>
  </si>
  <si>
    <t>Přesun hmot pro opravy a údržbu do výšky 25 m</t>
  </si>
  <si>
    <t>0,031+0,055+0,050+0,017+0,001</t>
  </si>
  <si>
    <t>Přesuny sutí</t>
  </si>
  <si>
    <t>Vnitrostaveništní doprava suti do 10 m</t>
  </si>
  <si>
    <t>2,715+1,962</t>
  </si>
  <si>
    <t>Vodorovné přemístění suti na skládku do 6000 m</t>
  </si>
  <si>
    <t>4,677</t>
  </si>
  <si>
    <t>Nakládání suti na dopravní prostředky</t>
  </si>
  <si>
    <t>Poplatek za skládku suti - směs betonu a cihel</t>
  </si>
  <si>
    <t>VÝMĚNA OKEN,DVEŘÍ VE DVORNÍ ČÁSTI,PARAPETY</t>
  </si>
  <si>
    <t>Zdi podpěrné a volné</t>
  </si>
  <si>
    <t>Zdivo z tvárnic Ytong pero - drážka tl. 30 cm</t>
  </si>
  <si>
    <t>1,18*2,08*0,65*2</t>
  </si>
  <si>
    <t>Zdivo z tvárnic Ytong hladkých přizdívka ostění schodiště</t>
  </si>
  <si>
    <t>0,66*2*0,2</t>
  </si>
  <si>
    <t>Okna dle rozpisu PD</t>
  </si>
  <si>
    <t>1   dle tabulky PD výpis prvků,s jednotlivým popisem</t>
  </si>
  <si>
    <t>Doplňující profily</t>
  </si>
  <si>
    <t>1   dle rozpisu</t>
  </si>
  <si>
    <t>Doplňky ke dveřím dle rozpisu PD</t>
  </si>
  <si>
    <t>Vnitřní parapety dle rozpisu PD</t>
  </si>
  <si>
    <t>Venkovní parapety dle rozpisu PD</t>
  </si>
  <si>
    <t>Demontáže stávajících prvků dle rozpisu PD</t>
  </si>
  <si>
    <t>Montáže prvků dle rozpisu PD</t>
  </si>
  <si>
    <t>Zednické začištění zdvojených oken dle rozpisu PD</t>
  </si>
  <si>
    <t>Ekologická likvidace dle rozpisu PD</t>
  </si>
  <si>
    <t>Montáž vnitřních parapetů</t>
  </si>
  <si>
    <t>Montáž venkovních parapetů</t>
  </si>
  <si>
    <t>Osazení a dodávka dveří v zadní části objektu</t>
  </si>
  <si>
    <t>Čalounické úpravy</t>
  </si>
  <si>
    <t>Žaluzie lamelové oken</t>
  </si>
  <si>
    <t>Elektromontáže</t>
  </si>
  <si>
    <t>Kabel CYKY 750 V 3x2,5 mm2 uložený pod omítkou</t>
  </si>
  <si>
    <t>150   včetně dodávky</t>
  </si>
  <si>
    <t>Úprava osvětlení dle výpočtu osvětlení,osazení,dodávky</t>
  </si>
  <si>
    <t>1   montáže,dodávky,revize,podružný materiál</t>
  </si>
  <si>
    <t>MALBY STROPŮ A STĚN</t>
  </si>
  <si>
    <t>Úprava povrchů vnitřní</t>
  </si>
  <si>
    <t>Zakrývání výplní vnitřních otvorů</t>
  </si>
  <si>
    <t>1,2*2,1*92   okna,</t>
  </si>
  <si>
    <t>0,6*0,78</t>
  </si>
  <si>
    <t>1,1*0,66</t>
  </si>
  <si>
    <t>0,75*0,4</t>
  </si>
  <si>
    <t>1,01*1,25*2</t>
  </si>
  <si>
    <t>1,03*0,76</t>
  </si>
  <si>
    <t>0,77*1,45*12</t>
  </si>
  <si>
    <t>0,61*0,86*4</t>
  </si>
  <si>
    <t>1,54*2,517   dveře</t>
  </si>
  <si>
    <t>1,42*2,37</t>
  </si>
  <si>
    <t>Oprava vápen.omítek stěn do 5 % pl. - štukových</t>
  </si>
  <si>
    <t>(6,16+6,16+1,5+1,5)*2,8   1.p.p.</t>
  </si>
  <si>
    <t>(6,16+6,16+2,26+2,26)*2,8</t>
  </si>
  <si>
    <t>(6,13+6,13+3,24+3,24)*2,0</t>
  </si>
  <si>
    <t>(4,82+4,82+2+2)*2,0</t>
  </si>
  <si>
    <t>(5,97+5,97+3,03+1,62)*2,0</t>
  </si>
  <si>
    <t>-(0,95*1,7+1,12*1,9+0,82*1,71)*2   odpočet dveří</t>
  </si>
  <si>
    <t>(6,56+6,56+2,2+3,98+5,16+2,2+3,98)*3,6   1.n.p. 1.02</t>
  </si>
  <si>
    <t>-(2,2*2+1,25*2+1,25*2+1,45*2,3)   odpočet dveří</t>
  </si>
  <si>
    <t>(3,76+3,76+9+9)*3,6   1.03</t>
  </si>
  <si>
    <t>-(1,6+1,8*4+1,25*2   odpočet dveří</t>
  </si>
  <si>
    <t>(4,58+4,58+2,49+2,49)*3,6   1.04</t>
  </si>
  <si>
    <t>-(1,8)   odpočet dveří</t>
  </si>
  <si>
    <t>(4,32+4,32+2,49+2,49)*3,6   1.05</t>
  </si>
  <si>
    <t>-1,8   odpočet dveří</t>
  </si>
  <si>
    <t>(3,41+3,41+2,42+2,42)*3,6   1.06</t>
  </si>
  <si>
    <t>(2,42+2,42+3,35+3,35)*3,6   1.07</t>
  </si>
  <si>
    <t>(10,10+10,10+6,14+6,14)*3,6   1.08</t>
  </si>
  <si>
    <t>(4,47+4,47+2,59+2,59)*3,6   1.09</t>
  </si>
  <si>
    <t>-1,6   odpočet dveří</t>
  </si>
  <si>
    <t>(1,75+1,75+2,59+2,59)*3,6   1.10</t>
  </si>
  <si>
    <t>(2,27+2,27+2,18+2,18)   1.11</t>
  </si>
  <si>
    <t>-(1,6+1,8+2+1,25*2)   odpočet dveří</t>
  </si>
  <si>
    <t>(6,32+6,32+6,19+6,19)*3,6   1.12</t>
  </si>
  <si>
    <t>(7,78+7,78+6,13+6,13)*3,6   1.13</t>
  </si>
  <si>
    <t>-1,2*0,8-1,1*2   odpočet otvorů</t>
  </si>
  <si>
    <t>(6,13+6,13+2,47+2,47)*3,6   1.14</t>
  </si>
  <si>
    <t>-(1,2*0,8+1,1*2)   odpočet otvorů</t>
  </si>
  <si>
    <t>(1,94+1,94+2,65+2,65)*3,6   1.15</t>
  </si>
  <si>
    <t>-(1,6*2)   odpočet dveří</t>
  </si>
  <si>
    <t>(2,65+2,65+2,16+2,16)*3,6   1.16</t>
  </si>
  <si>
    <t>-(1,6+1,2)   odpočet dveří</t>
  </si>
  <si>
    <t>(0,96+0,96+0,89+0,89)*3,6   1.17</t>
  </si>
  <si>
    <t>-1,2   odpočet dveří</t>
  </si>
  <si>
    <t>(1,84+1,84+2,65+2,65)*3,6   1.18</t>
  </si>
  <si>
    <t>-1,6*2   odpočet dveří</t>
  </si>
  <si>
    <t>(6,51+6,51+6,52+6,52)*3,6   1.19</t>
  </si>
  <si>
    <t>(4,06+4,06+2,68+2,68)*3,6   1.20</t>
  </si>
  <si>
    <t>(2,42+2,42+2,68+2,68)*3,6   1.21</t>
  </si>
  <si>
    <t>(2,92+2,92+2,13+2,13)*3,6   1.22</t>
  </si>
  <si>
    <t>-(1,8+1,6+1,8+1,54*2,5)   odpočet dveří</t>
  </si>
  <si>
    <t>(3,44+3,44+2,92+2,92)*3,6   1.23</t>
  </si>
  <si>
    <t>-(1,8+1,6)   odpočet dveří</t>
  </si>
  <si>
    <t>(5,32+5,32+2,86+2,86)*3,6   2.24</t>
  </si>
  <si>
    <t>-(1,6+1,8)   odpočet dveří</t>
  </si>
  <si>
    <t>(9,05+9,05+6,22+6,22)*3,6   2.01</t>
  </si>
  <si>
    <t>-(1,8*4+1,77*3,17)   odpočet otvorů</t>
  </si>
  <si>
    <t>(11,31+11,31+3+3)*3,6</t>
  </si>
  <si>
    <t>-(1,77*3,17+1,8*2+1,6*2)   odpočet otvorů</t>
  </si>
  <si>
    <t>(10,22+10,22+6,1+6,1)*3,6   2.02</t>
  </si>
  <si>
    <t>(9,17+9,17+6,6+6,6)*3,6   2.03</t>
  </si>
  <si>
    <t>(6,65+6,65+3,13+3,13)*3,6   2.04+2.05</t>
  </si>
  <si>
    <t>(9,14+9,14+6,6+6,6)*3,6   2.06</t>
  </si>
  <si>
    <t>(10,26+10,26+6,29+6,29)*3,6   2.07</t>
  </si>
  <si>
    <t>(6,32+6,32+2,7+2,7+1,3*8)*3,6   2.08</t>
  </si>
  <si>
    <t>-1,6</t>
  </si>
  <si>
    <t>(1,53+1,53+1,57+1,57)*3,6   2.09</t>
  </si>
  <si>
    <t>(6,66+6,66+9,67+9,67)*3,6   2.10</t>
  </si>
  <si>
    <t>(8,87+5,16+5,93+4,05+2,2+2,3+2,3)   3.01</t>
  </si>
  <si>
    <t>-(1,8*3+1,7*3,62)</t>
  </si>
  <si>
    <t>(11,40+11,40+3,1+3,1)*3,6</t>
  </si>
  <si>
    <t>-(1,8*2+1,7*3,52)   odpočet otvorů</t>
  </si>
  <si>
    <t>(10,17+10,17+6,41+6,41)*3,6   3.02</t>
  </si>
  <si>
    <t>-1,8</t>
  </si>
  <si>
    <t>(9,18+9,18+6,59+6,59)*3,6   3.03</t>
  </si>
  <si>
    <t>-1,8*2</t>
  </si>
  <si>
    <t>(6,28+6,28+6,59+6,59)*3,6   3.04</t>
  </si>
  <si>
    <t>(2,04+2,04+6,59+6,59)*3,6   3.05</t>
  </si>
  <si>
    <t>(10,29+10,29+6,26+6,26)*3,6   3.06</t>
  </si>
  <si>
    <t>(4,36+4,36+6,59+6,59)*3,6   3.07</t>
  </si>
  <si>
    <t>(6,46+6,46+2,9+2,9+1,11*8)*3,6   3.08</t>
  </si>
  <si>
    <t>-(1,8+1,2)</t>
  </si>
  <si>
    <t>(2,06+2,06+1,12+1,12)*3,6   3.09</t>
  </si>
  <si>
    <t>(6,7+6,7+9,7+9,7)*3,6   3.10</t>
  </si>
  <si>
    <t>(2,26+2,26+4,05+4,05)*2,6   4.01</t>
  </si>
  <si>
    <t>-(1,6+1,8*2+1,2*2,21</t>
  </si>
  <si>
    <t>(9,26+9,26+4,33+4,33)*2,8   4.03</t>
  </si>
  <si>
    <t>-(0,78*2,02+1,8)   odpočet dveří</t>
  </si>
  <si>
    <t>(4,23+4,23+6,61+6,61)*2,8   4.04</t>
  </si>
  <si>
    <t>-(0,78*2,02+1,6)   odpočet dveří</t>
  </si>
  <si>
    <t>(9,08+9,08+2,26+2,26)*2,8   4.05</t>
  </si>
  <si>
    <t>-(1,6+2+1,86+1,8+1,84)   odpočet dveří</t>
  </si>
  <si>
    <t>(4,22+4,22+6,61+6,61)*2,8   4.06</t>
  </si>
  <si>
    <t>-(1,6+2)</t>
  </si>
  <si>
    <t>(4,21+4,21+6,61+6,61)*2,8   4.07</t>
  </si>
  <si>
    <t>-(1,6*2+1,86)</t>
  </si>
  <si>
    <t>(2,33+2,33+1,45+1,45)*2,8   4.08</t>
  </si>
  <si>
    <t>(4,32+4,32+5,16+5,16)*2,8   4.09</t>
  </si>
  <si>
    <t>(4,04+4,04+4,24+4,24)*2,8   4.10</t>
  </si>
  <si>
    <t>-1,8*2   odpočet dveří</t>
  </si>
  <si>
    <t>-259,379   celkový odpočet oken</t>
  </si>
  <si>
    <t>Omítka rýh  vápenná šířky do 30 cm, štuková</t>
  </si>
  <si>
    <t>(3,13+3,6+3,6)*0,3   rýha po vybourané příčce 2.05</t>
  </si>
  <si>
    <t>Úprava povrchů</t>
  </si>
  <si>
    <t>Zakrývání podlah při malování PE folie,nebo karton</t>
  </si>
  <si>
    <t>9,64+7,94+13,95+9,53+19,86   1.p.p.</t>
  </si>
  <si>
    <t>19,02+21,4+16,54+10,76+9,49+8,11+62,01+11,58+4,3+4,95   1.n.p.</t>
  </si>
  <si>
    <t>39,12+47,69+15,08+5,07+4,54+0,85+4,88+42,45+10,83+6,35</t>
  </si>
  <si>
    <t>6,21+10,04+15,15+16,37</t>
  </si>
  <si>
    <t>55,98+62,34+60,47+3,96+16,12+60,32+64,73+13,66+2,25+64,4+16,14   2.n.p.</t>
  </si>
  <si>
    <t>54,48+64,95+60,49+41,29+13,44+64,45+28,73+15,15+2,31+64,21+16,53   3.n.p.</t>
  </si>
  <si>
    <t>9,02+39,96+28,17+20,38+29,33+24,06+3,38+22,29+17,14+1,17   4.n.p.</t>
  </si>
  <si>
    <t>Zařizovací předměty</t>
  </si>
  <si>
    <t>Demontáž umyvadla,dodávka a montáž nového s baterií a nopojením</t>
  </si>
  <si>
    <t>1   2.05</t>
  </si>
  <si>
    <t>3437,028   stěny</t>
  </si>
  <si>
    <t>1495,01   strop</t>
  </si>
  <si>
    <t>Malba latexová  univerzál.,barva, bez penetr.2x</t>
  </si>
  <si>
    <t>1432,09   omyvatelná do 1,5m výšky-sokl</t>
  </si>
  <si>
    <t>Malba  , bílá, bez penetrace, 2 x</t>
  </si>
  <si>
    <t>2004,94   3,6-1,5=2,1 m  stěny</t>
  </si>
  <si>
    <t>1495,01   stropy</t>
  </si>
  <si>
    <t>Odstranění malby oškrábáním v místnosti H do 5 m</t>
  </si>
  <si>
    <t>4932,038</t>
  </si>
  <si>
    <t>Po oškrábání  maleb omytí v místnosti H do 5 m</t>
  </si>
  <si>
    <t>1495,01</t>
  </si>
  <si>
    <t>Bourání příček z cihel pálených plných tl. 140 mm</t>
  </si>
  <si>
    <t>3*3,6   2.05</t>
  </si>
  <si>
    <t>Otlučení omítek vnitřních stěn v rozsahu do 5 %</t>
  </si>
  <si>
    <t>3437,028</t>
  </si>
  <si>
    <t>Přesun hmot pro opravy a údržbu do v. 12 m,nošením</t>
  </si>
  <si>
    <t>11,273+0,174+0,015+2,779+0,06</t>
  </si>
  <si>
    <t>0,007+6,874</t>
  </si>
  <si>
    <t>6,881</t>
  </si>
  <si>
    <t>Doba výstavby:</t>
  </si>
  <si>
    <t>Začátek výstavby:</t>
  </si>
  <si>
    <t>Konec výstavby:</t>
  </si>
  <si>
    <t>Zpracováno dne:</t>
  </si>
  <si>
    <t> </t>
  </si>
  <si>
    <t>05.03.2018</t>
  </si>
  <si>
    <t>M.j.</t>
  </si>
  <si>
    <t>kus</t>
  </si>
  <si>
    <t>t</t>
  </si>
  <si>
    <t>m2</t>
  </si>
  <si>
    <t>m3</t>
  </si>
  <si>
    <t>m</t>
  </si>
  <si>
    <t>soub</t>
  </si>
  <si>
    <t>kpl</t>
  </si>
  <si>
    <t>Množství</t>
  </si>
  <si>
    <t>Objednatel:</t>
  </si>
  <si>
    <t>Projektant:</t>
  </si>
  <si>
    <t>Zhotovitel:</t>
  </si>
  <si>
    <t>Zpracoval:</t>
  </si>
  <si>
    <t>Jednot.</t>
  </si>
  <si>
    <t>cena (Kč)</t>
  </si>
  <si>
    <t>MĚSTO DOLNÍ POUSTEVNA</t>
  </si>
  <si>
    <t>PK HOŠEK</t>
  </si>
  <si>
    <t>BUDE VYBRÁN</t>
  </si>
  <si>
    <t>IIČVDF</t>
  </si>
  <si>
    <t>Náklady (Kč)</t>
  </si>
  <si>
    <t>Dodávka</t>
  </si>
  <si>
    <t>Celkem:</t>
  </si>
  <si>
    <t>Montáž</t>
  </si>
  <si>
    <t>Celkem</t>
  </si>
  <si>
    <t>Cenová</t>
  </si>
  <si>
    <t>soustava</t>
  </si>
  <si>
    <t>RTS II / 2017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</si>
  <si>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</si>
  <si>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</si>
  <si>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</si>
  <si>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</si>
  <si>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</si>
  <si>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</si>
  <si>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</si>
  <si>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</si>
  <si>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</si>
  <si>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SO.01</t>
  </si>
  <si>
    <t>SO.02</t>
  </si>
  <si>
    <t>SO.03</t>
  </si>
  <si>
    <t>64_</t>
  </si>
  <si>
    <t>766_</t>
  </si>
  <si>
    <t>771_</t>
  </si>
  <si>
    <t>784_</t>
  </si>
  <si>
    <t>94_</t>
  </si>
  <si>
    <t>95_</t>
  </si>
  <si>
    <t>96_</t>
  </si>
  <si>
    <t>97_</t>
  </si>
  <si>
    <t>H99_</t>
  </si>
  <si>
    <t>S_</t>
  </si>
  <si>
    <t>31_</t>
  </si>
  <si>
    <t>786_</t>
  </si>
  <si>
    <t>M21_</t>
  </si>
  <si>
    <t>61_</t>
  </si>
  <si>
    <t>62_</t>
  </si>
  <si>
    <t>725_</t>
  </si>
  <si>
    <t>SO.01_6_</t>
  </si>
  <si>
    <t>SO.01_76_</t>
  </si>
  <si>
    <t>SO.01_77_</t>
  </si>
  <si>
    <t>SO.01_78_</t>
  </si>
  <si>
    <t>SO.01_9_</t>
  </si>
  <si>
    <t>SO.02_3_</t>
  </si>
  <si>
    <t>SO.02_6_</t>
  </si>
  <si>
    <t>SO.02_78_</t>
  </si>
  <si>
    <t>SO.02_9_</t>
  </si>
  <si>
    <t>SO.03_6_</t>
  </si>
  <si>
    <t>SO.03_72_</t>
  </si>
  <si>
    <t>SO.03_78_</t>
  </si>
  <si>
    <t>SO.03_9_</t>
  </si>
  <si>
    <t>SO.01_</t>
  </si>
  <si>
    <t>SO.02_</t>
  </si>
  <si>
    <t>SO.03_</t>
  </si>
  <si>
    <t>MAT</t>
  </si>
  <si>
    <t>WORK</t>
  </si>
  <si>
    <t>CELK</t>
  </si>
  <si>
    <t>Slepý stavební rozpočet - Skupiny a položky</t>
  </si>
  <si>
    <t>76</t>
  </si>
  <si>
    <t>77</t>
  </si>
  <si>
    <t>78</t>
  </si>
  <si>
    <t>72</t>
  </si>
  <si>
    <t>Úpravy povrchů a osazování výplní otvorů</t>
  </si>
  <si>
    <t>Konstrukce</t>
  </si>
  <si>
    <t>Podlahy</t>
  </si>
  <si>
    <t>Dokončovací práce</t>
  </si>
  <si>
    <t>Dokončovací práce, demolice</t>
  </si>
  <si>
    <t>Svislé a kompletní konstrukce</t>
  </si>
  <si>
    <t>Zdravotně technické instalace</t>
  </si>
  <si>
    <t>Výkaz výměr</t>
  </si>
  <si>
    <t>Objekt</t>
  </si>
  <si>
    <t>Cenová soustava</t>
  </si>
  <si>
    <t>Rozpočtové náklady v Kč</t>
  </si>
  <si>
    <t>A</t>
  </si>
  <si>
    <t>HSV</t>
  </si>
  <si>
    <t>PSV</t>
  </si>
  <si>
    <t>"M"</t>
  </si>
  <si>
    <t>Ostatní materiál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</si>
  <si>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</si>
  <si>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</si>
  <si>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</si>
  <si>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</si>
  <si>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</si>
  <si>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</si>
  <si>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</si>
  <si>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Základní rozpočtové náklady</t>
  </si>
  <si>
    <t>Dodávky</t>
  </si>
  <si>
    <t>Krycí list slepého rozpočtu</t>
  </si>
  <si>
    <t>B</t>
  </si>
  <si>
    <t>Práce přesčas</t>
  </si>
  <si>
    <t>Bez pevné podl.</t>
  </si>
  <si>
    <t>Kulturní památka</t>
  </si>
  <si>
    <t>Rozpočtová rezerva</t>
  </si>
  <si>
    <t>DN celkem</t>
  </si>
  <si>
    <t>DN celkem z obj.</t>
  </si>
  <si>
    <t>DPH 15%</t>
  </si>
  <si>
    <t>DPH 21%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</si>
  <si>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</si>
  <si>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</si>
  <si>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</si>
  <si>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</si>
  <si>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</si>
  <si>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</si>
  <si>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</si>
  <si>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</si>
  <si>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</si>
  <si>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</si>
  <si>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NUS celkem z obj.</t>
  </si>
  <si>
    <t>ORN celkem</t>
  </si>
  <si>
    <t>ORN celkem z obj.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</si>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</sst>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dd/mm/yy"/>
    <numFmt numFmtId="165" formatCode="dd\.mmmm\.yy"/>
  </numFmts>
  <fonts count="49">
    <font>
      <sz val="10"/>
      <name val="Arial"/>
      <family val="0"/>
    </font>
    <font>
      <sz val="10"/>
      <color indexed="8"/>
      <name val="Arial"/>
      <family val="0"/>
    </font>
    <font>
      <sz val="1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54"/>
      <name val="Arial"/>
      <family val="0"/>
    </font>
    <font>
      <sz val="10"/>
      <color indexed="56"/>
      <name val="Arial"/>
      <family val="0"/>
    </font>
    <font>
      <sz val="10"/>
      <color indexed="61"/>
      <name val="Arial"/>
      <family val="0"/>
    </font>
    <font>
      <sz val="10"/>
      <color indexed="62"/>
      <name val="Arial"/>
      <family val="0"/>
    </font>
    <font>
      <i/>
      <sz val="8"/>
      <color indexed="8"/>
      <name val="Arial"/>
      <family val="0"/>
    </font>
    <font>
      <b/>
      <sz val="10"/>
      <color indexed="54"/>
      <name val="Arial"/>
      <family val="0"/>
    </font>
    <font>
      <b/>
      <sz val="10"/>
      <color indexed="56"/>
      <name val="Arial"/>
      <family val="0"/>
    </font>
    <font>
      <i/>
      <sz val="10"/>
      <color indexed="63"/>
      <name val="Arial"/>
      <family val="0"/>
    </font>
    <font>
      <b/>
      <sz val="18"/>
      <color indexed="8"/>
      <name val="Arial"/>
      <family val="0"/>
    </font>
    <font>
      <b/>
      <sz val="20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11"/>
      <color indexed="8"/>
      <name val="Arial"/>
      <family val="0"/>
    </font>
    <font>
      <sz val="18"/>
      <color indexed="23"/>
      <name val="Calibri Light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/>
      <bottom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medium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thin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34" fillId="20" borderId="2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0" fillId="22" borderId="6" applyNumberFormat="0" applyFont="0" applyAlignment="0" applyProtection="0"/>
    <xf numFmtId="43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</cellStyleXfs>
  <cellXfs count="135">
    <xf numFmtId="0" fontId="1" fillId="0" borderId="0" xfId="0" applyFont="1" applyAlignment="1">
      <alignment vertical="center"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49" fontId="4" fillId="33" borderId="12" xfId="0" applyNumberFormat="1" applyFont="1" applyFill="1" applyBorder="1" applyAlignment="1" applyProtection="1">
      <alignment horizontal="left" vertical="center"/>
      <protection/>
    </xf>
    <xf numFmtId="49" fontId="5" fillId="34" borderId="0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49" fontId="4" fillId="33" borderId="0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vertical="center"/>
      <protection/>
    </xf>
    <xf numFmtId="0" fontId="1" fillId="0" borderId="14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5" xfId="0" applyNumberFormat="1" applyFont="1" applyFill="1" applyBorder="1" applyAlignment="1" applyProtection="1">
      <alignment horizontal="left" vertical="center"/>
      <protection/>
    </xf>
    <xf numFmtId="49" fontId="1" fillId="0" borderId="16" xfId="0" applyNumberFormat="1" applyFont="1" applyFill="1" applyBorder="1" applyAlignment="1" applyProtection="1">
      <alignment horizontal="left" vertical="center"/>
      <protection/>
    </xf>
    <xf numFmtId="49" fontId="9" fillId="33" borderId="12" xfId="0" applyNumberFormat="1" applyFont="1" applyFill="1" applyBorder="1" applyAlignment="1" applyProtection="1">
      <alignment horizontal="left" vertical="center"/>
      <protection/>
    </xf>
    <xf numFmtId="49" fontId="10" fillId="34" borderId="0" xfId="0" applyNumberFormat="1" applyFont="1" applyFill="1" applyBorder="1" applyAlignment="1" applyProtection="1">
      <alignment horizontal="left" vertical="center"/>
      <protection/>
    </xf>
    <xf numFmtId="49" fontId="9" fillId="33" borderId="0" xfId="0" applyNumberFormat="1" applyFont="1" applyFill="1" applyBorder="1" applyAlignment="1" applyProtection="1">
      <alignment horizontal="left" vertical="center"/>
      <protection/>
    </xf>
    <xf numFmtId="49" fontId="3" fillId="0" borderId="15" xfId="0" applyNumberFormat="1" applyFont="1" applyFill="1" applyBorder="1" applyAlignment="1" applyProtection="1">
      <alignment horizontal="center" vertical="center"/>
      <protection/>
    </xf>
    <xf numFmtId="4" fontId="6" fillId="0" borderId="0" xfId="0" applyNumberFormat="1" applyFont="1" applyFill="1" applyBorder="1" applyAlignment="1" applyProtection="1">
      <alignment horizontal="right" vertical="center"/>
      <protection/>
    </xf>
    <xf numFmtId="4" fontId="11" fillId="0" borderId="0" xfId="0" applyNumberFormat="1" applyFont="1" applyFill="1" applyBorder="1" applyAlignment="1" applyProtection="1">
      <alignment horizontal="right" vertical="center"/>
      <protection/>
    </xf>
    <xf numFmtId="4" fontId="7" fillId="0" borderId="0" xfId="0" applyNumberFormat="1" applyFont="1" applyFill="1" applyBorder="1" applyAlignment="1" applyProtection="1">
      <alignment horizontal="right" vertical="center"/>
      <protection/>
    </xf>
    <xf numFmtId="4" fontId="11" fillId="0" borderId="13" xfId="0" applyNumberFormat="1" applyFont="1" applyFill="1" applyBorder="1" applyAlignment="1" applyProtection="1">
      <alignment horizontal="right" vertical="center"/>
      <protection/>
    </xf>
    <xf numFmtId="49" fontId="3" fillId="0" borderId="17" xfId="0" applyNumberFormat="1" applyFont="1" applyFill="1" applyBorder="1" applyAlignment="1" applyProtection="1">
      <alignment horizontal="center" vertical="center"/>
      <protection/>
    </xf>
    <xf numFmtId="49" fontId="3" fillId="0" borderId="18" xfId="0" applyNumberFormat="1" applyFont="1" applyFill="1" applyBorder="1" applyAlignment="1" applyProtection="1">
      <alignment horizontal="center" vertical="center"/>
      <protection/>
    </xf>
    <xf numFmtId="49" fontId="3" fillId="0" borderId="19" xfId="0" applyNumberFormat="1" applyFont="1" applyFill="1" applyBorder="1" applyAlignment="1" applyProtection="1">
      <alignment horizontal="center" vertical="center"/>
      <protection/>
    </xf>
    <xf numFmtId="49" fontId="3" fillId="0" borderId="20" xfId="0" applyNumberFormat="1" applyFont="1" applyFill="1" applyBorder="1" applyAlignment="1" applyProtection="1">
      <alignment horizontal="center" vertical="center"/>
      <protection/>
    </xf>
    <xf numFmtId="49" fontId="3" fillId="0" borderId="21" xfId="0" applyNumberFormat="1" applyFont="1" applyFill="1" applyBorder="1" applyAlignment="1" applyProtection="1">
      <alignment horizontal="center" vertical="center"/>
      <protection/>
    </xf>
    <xf numFmtId="49" fontId="3" fillId="0" borderId="22" xfId="0" applyNumberFormat="1" applyFont="1" applyFill="1" applyBorder="1" applyAlignment="1" applyProtection="1">
      <alignment horizontal="center" vertical="center"/>
      <protection/>
    </xf>
    <xf numFmtId="49" fontId="3" fillId="0" borderId="23" xfId="0" applyNumberFormat="1" applyFont="1" applyFill="1" applyBorder="1" applyAlignment="1" applyProtection="1">
      <alignment horizontal="center" vertical="center"/>
      <protection/>
    </xf>
    <xf numFmtId="49" fontId="9" fillId="33" borderId="12" xfId="0" applyNumberFormat="1" applyFont="1" applyFill="1" applyBorder="1" applyAlignment="1" applyProtection="1">
      <alignment horizontal="right" vertical="center"/>
      <protection/>
    </xf>
    <xf numFmtId="49" fontId="10" fillId="34" borderId="0" xfId="0" applyNumberFormat="1" applyFont="1" applyFill="1" applyBorder="1" applyAlignment="1" applyProtection="1">
      <alignment horizontal="right" vertical="center"/>
      <protection/>
    </xf>
    <xf numFmtId="49" fontId="6" fillId="0" borderId="0" xfId="0" applyNumberFormat="1" applyFont="1" applyFill="1" applyBorder="1" applyAlignment="1" applyProtection="1">
      <alignment horizontal="right" vertical="center"/>
      <protection/>
    </xf>
    <xf numFmtId="49" fontId="7" fillId="0" borderId="0" xfId="0" applyNumberFormat="1" applyFont="1" applyFill="1" applyBorder="1" applyAlignment="1" applyProtection="1">
      <alignment horizontal="right" vertical="center"/>
      <protection/>
    </xf>
    <xf numFmtId="49" fontId="9" fillId="33" borderId="0" xfId="0" applyNumberFormat="1" applyFont="1" applyFill="1" applyBorder="1" applyAlignment="1" applyProtection="1">
      <alignment horizontal="right"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" fontId="9" fillId="33" borderId="12" xfId="0" applyNumberFormat="1" applyFont="1" applyFill="1" applyBorder="1" applyAlignment="1" applyProtection="1">
      <alignment horizontal="right" vertical="center"/>
      <protection/>
    </xf>
    <xf numFmtId="4" fontId="10" fillId="34" borderId="0" xfId="0" applyNumberFormat="1" applyFont="1" applyFill="1" applyBorder="1" applyAlignment="1" applyProtection="1">
      <alignment horizontal="right" vertical="center"/>
      <protection/>
    </xf>
    <xf numFmtId="4" fontId="9" fillId="33" borderId="0" xfId="0" applyNumberFormat="1" applyFont="1" applyFill="1" applyBorder="1" applyAlignment="1" applyProtection="1">
      <alignment horizontal="right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49" fontId="3" fillId="0" borderId="26" xfId="0" applyNumberFormat="1" applyFont="1" applyFill="1" applyBorder="1" applyAlignment="1" applyProtection="1">
      <alignment horizontal="left" vertical="center"/>
      <protection/>
    </xf>
    <xf numFmtId="49" fontId="6" fillId="0" borderId="12" xfId="0" applyNumberFormat="1" applyFont="1" applyFill="1" applyBorder="1" applyAlignment="1" applyProtection="1">
      <alignment horizontal="left" vertical="center"/>
      <protection/>
    </xf>
    <xf numFmtId="49" fontId="3" fillId="0" borderId="27" xfId="0" applyNumberFormat="1" applyFont="1" applyFill="1" applyBorder="1" applyAlignment="1" applyProtection="1">
      <alignment horizontal="left" vertical="center"/>
      <protection/>
    </xf>
    <xf numFmtId="49" fontId="3" fillId="0" borderId="27" xfId="0" applyNumberFormat="1" applyFont="1" applyFill="1" applyBorder="1" applyAlignment="1" applyProtection="1">
      <alignment horizontal="right" vertical="center"/>
      <protection/>
    </xf>
    <xf numFmtId="4" fontId="6" fillId="0" borderId="12" xfId="0" applyNumberFormat="1" applyFont="1" applyFill="1" applyBorder="1" applyAlignment="1" applyProtection="1">
      <alignment horizontal="right" vertical="center"/>
      <protection/>
    </xf>
    <xf numFmtId="49" fontId="3" fillId="0" borderId="28" xfId="0" applyNumberFormat="1" applyFont="1" applyFill="1" applyBorder="1" applyAlignment="1" applyProtection="1">
      <alignment horizontal="left" vertical="center"/>
      <protection/>
    </xf>
    <xf numFmtId="49" fontId="6" fillId="0" borderId="12" xfId="0" applyNumberFormat="1" applyFont="1" applyFill="1" applyBorder="1" applyAlignment="1" applyProtection="1">
      <alignment horizontal="right" vertical="center"/>
      <protection/>
    </xf>
    <xf numFmtId="49" fontId="13" fillId="35" borderId="29" xfId="0" applyNumberFormat="1" applyFont="1" applyFill="1" applyBorder="1" applyAlignment="1" applyProtection="1">
      <alignment horizontal="center" vertical="center"/>
      <protection/>
    </xf>
    <xf numFmtId="49" fontId="14" fillId="0" borderId="30" xfId="0" applyNumberFormat="1" applyFont="1" applyFill="1" applyBorder="1" applyAlignment="1" applyProtection="1">
      <alignment horizontal="left" vertical="center"/>
      <protection/>
    </xf>
    <xf numFmtId="49" fontId="14" fillId="0" borderId="31" xfId="0" applyNumberFormat="1" applyFont="1" applyFill="1" applyBorder="1" applyAlignment="1" applyProtection="1">
      <alignment horizontal="left" vertical="center"/>
      <protection/>
    </xf>
    <xf numFmtId="0" fontId="1" fillId="0" borderId="32" xfId="0" applyNumberFormat="1" applyFont="1" applyFill="1" applyBorder="1" applyAlignment="1" applyProtection="1">
      <alignment vertical="center"/>
      <protection/>
    </xf>
    <xf numFmtId="49" fontId="8" fillId="0" borderId="12" xfId="0" applyNumberFormat="1" applyFont="1" applyFill="1" applyBorder="1" applyAlignment="1" applyProtection="1">
      <alignment horizontal="left" vertical="center"/>
      <protection/>
    </xf>
    <xf numFmtId="49" fontId="15" fillId="0" borderId="29" xfId="0" applyNumberFormat="1" applyFont="1" applyFill="1" applyBorder="1" applyAlignment="1" applyProtection="1">
      <alignment horizontal="left" vertical="center"/>
      <protection/>
    </xf>
    <xf numFmtId="0" fontId="1" fillId="0" borderId="12" xfId="0" applyNumberFormat="1" applyFont="1" applyFill="1" applyBorder="1" applyAlignment="1" applyProtection="1">
      <alignment vertical="center"/>
      <protection/>
    </xf>
    <xf numFmtId="0" fontId="1" fillId="0" borderId="33" xfId="0" applyNumberFormat="1" applyFont="1" applyFill="1" applyBorder="1" applyAlignment="1" applyProtection="1">
      <alignment vertical="center"/>
      <protection/>
    </xf>
    <xf numFmtId="0" fontId="1" fillId="0" borderId="34" xfId="0" applyNumberFormat="1" applyFont="1" applyFill="1" applyBorder="1" applyAlignment="1" applyProtection="1">
      <alignment vertical="center"/>
      <protection/>
    </xf>
    <xf numFmtId="4" fontId="15" fillId="0" borderId="29" xfId="0" applyNumberFormat="1" applyFont="1" applyFill="1" applyBorder="1" applyAlignment="1" applyProtection="1">
      <alignment horizontal="right" vertical="center"/>
      <protection/>
    </xf>
    <xf numFmtId="49" fontId="15" fillId="0" borderId="29" xfId="0" applyNumberFormat="1" applyFont="1" applyFill="1" applyBorder="1" applyAlignment="1" applyProtection="1">
      <alignment horizontal="right" vertical="center"/>
      <protection/>
    </xf>
    <xf numFmtId="4" fontId="15" fillId="0" borderId="20" xfId="0" applyNumberFormat="1" applyFont="1" applyFill="1" applyBorder="1" applyAlignment="1" applyProtection="1">
      <alignment horizontal="right" vertical="center"/>
      <protection/>
    </xf>
    <xf numFmtId="0" fontId="1" fillId="0" borderId="35" xfId="0" applyNumberFormat="1" applyFont="1" applyFill="1" applyBorder="1" applyAlignment="1" applyProtection="1">
      <alignment vertical="center"/>
      <protection/>
    </xf>
    <xf numFmtId="0" fontId="1" fillId="0" borderId="36" xfId="0" applyNumberFormat="1" applyFont="1" applyFill="1" applyBorder="1" applyAlignment="1" applyProtection="1">
      <alignment vertical="center"/>
      <protection/>
    </xf>
    <xf numFmtId="0" fontId="1" fillId="0" borderId="37" xfId="0" applyNumberFormat="1" applyFont="1" applyFill="1" applyBorder="1" applyAlignment="1" applyProtection="1">
      <alignment vertical="center"/>
      <protection/>
    </xf>
    <xf numFmtId="4" fontId="14" fillId="35" borderId="38" xfId="0" applyNumberFormat="1" applyFont="1" applyFill="1" applyBorder="1" applyAlignment="1" applyProtection="1">
      <alignment horizontal="right" vertical="center"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11" fillId="0" borderId="0" xfId="0" applyNumberFormat="1" applyFont="1" applyFill="1" applyBorder="1" applyAlignment="1" applyProtection="1">
      <alignment horizontal="left" vertical="center"/>
      <protection/>
    </xf>
    <xf numFmtId="0" fontId="11" fillId="0" borderId="0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49" fontId="11" fillId="0" borderId="13" xfId="0" applyNumberFormat="1" applyFont="1" applyFill="1" applyBorder="1" applyAlignment="1" applyProtection="1">
      <alignment horizontal="left" vertical="center"/>
      <protection/>
    </xf>
    <xf numFmtId="0" fontId="11" fillId="0" borderId="13" xfId="0" applyNumberFormat="1" applyFont="1" applyFill="1" applyBorder="1" applyAlignment="1" applyProtection="1">
      <alignment horizontal="left" vertical="center"/>
      <protection/>
    </xf>
    <xf numFmtId="49" fontId="3" fillId="0" borderId="14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left" vertical="center"/>
      <protection/>
    </xf>
    <xf numFmtId="49" fontId="10" fillId="34" borderId="0" xfId="0" applyNumberFormat="1" applyFont="1" applyFill="1" applyBorder="1" applyAlignment="1" applyProtection="1">
      <alignment horizontal="left" vertical="center"/>
      <protection/>
    </xf>
    <xf numFmtId="0" fontId="10" fillId="34" borderId="0" xfId="0" applyNumberFormat="1" applyFont="1" applyFill="1" applyBorder="1" applyAlignment="1" applyProtection="1">
      <alignment horizontal="left" vertical="center"/>
      <protection/>
    </xf>
    <xf numFmtId="49" fontId="9" fillId="33" borderId="0" xfId="0" applyNumberFormat="1" applyFont="1" applyFill="1" applyBorder="1" applyAlignment="1" applyProtection="1">
      <alignment horizontal="left" vertical="center"/>
      <protection/>
    </xf>
    <xf numFmtId="0" fontId="9" fillId="33" borderId="0" xfId="0" applyNumberFormat="1" applyFont="1" applyFill="1" applyBorder="1" applyAlignment="1" applyProtection="1">
      <alignment horizontal="left" vertical="center"/>
      <protection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39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35" xfId="0" applyNumberFormat="1" applyFont="1" applyFill="1" applyBorder="1" applyAlignment="1" applyProtection="1">
      <alignment horizontal="left" vertical="center"/>
      <protection/>
    </xf>
    <xf numFmtId="49" fontId="3" fillId="0" borderId="40" xfId="0" applyNumberFormat="1" applyFont="1" applyFill="1" applyBorder="1" applyAlignment="1" applyProtection="1">
      <alignment horizontal="center" vertical="center"/>
      <protection/>
    </xf>
    <xf numFmtId="0" fontId="3" fillId="0" borderId="41" xfId="0" applyNumberFormat="1" applyFont="1" applyFill="1" applyBorder="1" applyAlignment="1" applyProtection="1">
      <alignment horizontal="center" vertical="center"/>
      <protection/>
    </xf>
    <xf numFmtId="0" fontId="3" fillId="0" borderId="42" xfId="0" applyNumberFormat="1" applyFont="1" applyFill="1" applyBorder="1" applyAlignment="1" applyProtection="1">
      <alignment horizontal="center" vertical="center"/>
      <protection/>
    </xf>
    <xf numFmtId="49" fontId="3" fillId="0" borderId="43" xfId="0" applyNumberFormat="1" applyFont="1" applyFill="1" applyBorder="1" applyAlignment="1" applyProtection="1">
      <alignment horizontal="left" vertical="center"/>
      <protection/>
    </xf>
    <xf numFmtId="0" fontId="3" fillId="0" borderId="44" xfId="0" applyNumberFormat="1" applyFont="1" applyFill="1" applyBorder="1" applyAlignment="1" applyProtection="1">
      <alignment horizontal="left" vertical="center"/>
      <protection/>
    </xf>
    <xf numFmtId="0" fontId="3" fillId="0" borderId="45" xfId="0" applyNumberFormat="1" applyFont="1" applyFill="1" applyBorder="1" applyAlignment="1" applyProtection="1">
      <alignment horizontal="left" vertical="center"/>
      <protection/>
    </xf>
    <xf numFmtId="49" fontId="9" fillId="33" borderId="12" xfId="0" applyNumberFormat="1" applyFont="1" applyFill="1" applyBorder="1" applyAlignment="1" applyProtection="1">
      <alignment horizontal="left" vertical="center"/>
      <protection/>
    </xf>
    <xf numFmtId="0" fontId="9" fillId="33" borderId="12" xfId="0" applyNumberFormat="1" applyFont="1" applyFill="1" applyBorder="1" applyAlignment="1" applyProtection="1">
      <alignment horizontal="left" vertical="center"/>
      <protection/>
    </xf>
    <xf numFmtId="0" fontId="1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43" xfId="0" applyNumberFormat="1" applyFont="1" applyFill="1" applyBorder="1" applyAlignment="1" applyProtection="1">
      <alignment horizontal="left" vertical="center"/>
      <protection/>
    </xf>
    <xf numFmtId="0" fontId="1" fillId="0" borderId="44" xfId="0" applyNumberFormat="1" applyFont="1" applyFill="1" applyBorder="1" applyAlignment="1" applyProtection="1">
      <alignment horizontal="left" vertical="center"/>
      <protection/>
    </xf>
    <xf numFmtId="8" fontId="1" fillId="0" borderId="0" xfId="0" applyNumberFormat="1" applyFont="1" applyFill="1" applyBorder="1" applyAlignment="1" applyProtection="1">
      <alignment horizontal="left" vertical="center" wrapText="1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36" xfId="0" applyNumberFormat="1" applyFont="1" applyFill="1" applyBorder="1" applyAlignment="1" applyProtection="1">
      <alignment horizontal="left" vertical="center"/>
      <protection/>
    </xf>
    <xf numFmtId="0" fontId="1" fillId="0" borderId="45" xfId="0" applyNumberFormat="1" applyFont="1" applyFill="1" applyBorder="1" applyAlignment="1" applyProtection="1">
      <alignment horizontal="left" vertical="center"/>
      <protection/>
    </xf>
    <xf numFmtId="0" fontId="1" fillId="0" borderId="24" xfId="0" applyNumberFormat="1" applyFont="1" applyFill="1" applyBorder="1" applyAlignment="1" applyProtection="1">
      <alignment horizontal="left" vertical="center"/>
      <protection/>
    </xf>
    <xf numFmtId="49" fontId="2" fillId="0" borderId="13" xfId="0" applyNumberFormat="1" applyFont="1" applyFill="1" applyBorder="1" applyAlignment="1" applyProtection="1">
      <alignment horizont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46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1" fillId="0" borderId="33" xfId="0" applyNumberFormat="1" applyFont="1" applyFill="1" applyBorder="1" applyAlignment="1" applyProtection="1">
      <alignment horizontal="left" vertical="center"/>
      <protection/>
    </xf>
    <xf numFmtId="49" fontId="15" fillId="0" borderId="25" xfId="0" applyNumberFormat="1" applyFont="1" applyFill="1" applyBorder="1" applyAlignment="1" applyProtection="1">
      <alignment horizontal="left" vertical="center"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15" fillId="0" borderId="47" xfId="0" applyNumberFormat="1" applyFont="1" applyFill="1" applyBorder="1" applyAlignment="1" applyProtection="1">
      <alignment horizontal="left" vertical="center"/>
      <protection/>
    </xf>
    <xf numFmtId="49" fontId="15" fillId="0" borderId="48" xfId="0" applyNumberFormat="1" applyFont="1" applyFill="1" applyBorder="1" applyAlignment="1" applyProtection="1">
      <alignment horizontal="left" vertical="center"/>
      <protection/>
    </xf>
    <xf numFmtId="0" fontId="15" fillId="0" borderId="44" xfId="0" applyNumberFormat="1" applyFont="1" applyFill="1" applyBorder="1" applyAlignment="1" applyProtection="1">
      <alignment horizontal="left" vertical="center"/>
      <protection/>
    </xf>
    <xf numFmtId="0" fontId="15" fillId="0" borderId="49" xfId="0" applyNumberFormat="1" applyFont="1" applyFill="1" applyBorder="1" applyAlignment="1" applyProtection="1">
      <alignment horizontal="left" vertical="center"/>
      <protection/>
    </xf>
    <xf numFmtId="49" fontId="14" fillId="35" borderId="37" xfId="0" applyNumberFormat="1" applyFont="1" applyFill="1" applyBorder="1" applyAlignment="1" applyProtection="1">
      <alignment horizontal="left" vertical="center"/>
      <protection/>
    </xf>
    <xf numFmtId="0" fontId="14" fillId="35" borderId="50" xfId="0" applyNumberFormat="1" applyFont="1" applyFill="1" applyBorder="1" applyAlignment="1" applyProtection="1">
      <alignment horizontal="left" vertical="center"/>
      <protection/>
    </xf>
    <xf numFmtId="49" fontId="15" fillId="0" borderId="51" xfId="0" applyNumberFormat="1" applyFont="1" applyFill="1" applyBorder="1" applyAlignment="1" applyProtection="1">
      <alignment horizontal="left" vertical="center"/>
      <protection/>
    </xf>
    <xf numFmtId="0" fontId="15" fillId="0" borderId="12" xfId="0" applyNumberFormat="1" applyFont="1" applyFill="1" applyBorder="1" applyAlignment="1" applyProtection="1">
      <alignment horizontal="left" vertical="center"/>
      <protection/>
    </xf>
    <xf numFmtId="0" fontId="15" fillId="0" borderId="52" xfId="0" applyNumberFormat="1" applyFont="1" applyFill="1" applyBorder="1" applyAlignment="1" applyProtection="1">
      <alignment horizontal="left" vertical="center"/>
      <protection/>
    </xf>
    <xf numFmtId="49" fontId="14" fillId="0" borderId="37" xfId="0" applyNumberFormat="1" applyFont="1" applyFill="1" applyBorder="1" applyAlignment="1" applyProtection="1">
      <alignment horizontal="left" vertical="center"/>
      <protection/>
    </xf>
    <xf numFmtId="0" fontId="14" fillId="0" borderId="38" xfId="0" applyNumberFormat="1" applyFont="1" applyFill="1" applyBorder="1" applyAlignment="1" applyProtection="1">
      <alignment horizontal="left" vertical="center"/>
      <protection/>
    </xf>
    <xf numFmtId="49" fontId="15" fillId="0" borderId="37" xfId="0" applyNumberFormat="1" applyFont="1" applyFill="1" applyBorder="1" applyAlignment="1" applyProtection="1">
      <alignment horizontal="left" vertical="center"/>
      <protection/>
    </xf>
    <xf numFmtId="0" fontId="15" fillId="0" borderId="38" xfId="0" applyNumberFormat="1" applyFont="1" applyFill="1" applyBorder="1" applyAlignment="1" applyProtection="1">
      <alignment horizontal="left" vertical="center"/>
      <protection/>
    </xf>
    <xf numFmtId="49" fontId="12" fillId="0" borderId="50" xfId="0" applyNumberFormat="1" applyFont="1" applyFill="1" applyBorder="1" applyAlignment="1" applyProtection="1">
      <alignment horizontal="center" vertical="center"/>
      <protection/>
    </xf>
    <xf numFmtId="0" fontId="12" fillId="0" borderId="50" xfId="0" applyNumberFormat="1" applyFont="1" applyFill="1" applyBorder="1" applyAlignment="1" applyProtection="1">
      <alignment horizontal="center" vertical="center"/>
      <protection/>
    </xf>
    <xf numFmtId="49" fontId="16" fillId="0" borderId="37" xfId="0" applyNumberFormat="1" applyFont="1" applyFill="1" applyBorder="1" applyAlignment="1" applyProtection="1">
      <alignment horizontal="left" vertical="center"/>
      <protection/>
    </xf>
    <xf numFmtId="0" fontId="16" fillId="0" borderId="38" xfId="0" applyNumberFormat="1" applyFont="1" applyFill="1" applyBorder="1" applyAlignment="1" applyProtection="1">
      <alignment horizontal="left" vertical="center"/>
      <protection/>
    </xf>
    <xf numFmtId="0" fontId="1" fillId="0" borderId="34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36" xfId="0" applyNumberFormat="1" applyFont="1" applyFill="1" applyBorder="1" applyAlignment="1" applyProtection="1">
      <alignment horizontal="left" vertical="center" wrapText="1"/>
      <protection/>
    </xf>
    <xf numFmtId="0" fontId="1" fillId="0" borderId="53" xfId="0" applyNumberFormat="1" applyFont="1" applyFill="1" applyBorder="1" applyAlignment="1" applyProtection="1">
      <alignment horizontal="left" vertical="center"/>
      <protection/>
    </xf>
    <xf numFmtId="49" fontId="1" fillId="0" borderId="36" xfId="0" applyNumberFormat="1" applyFont="1" applyFill="1" applyBorder="1" applyAlignment="1" applyProtection="1">
      <alignment horizontal="left" vertical="center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49" fontId="1" fillId="0" borderId="33" xfId="0" applyNumberFormat="1" applyFont="1" applyFill="1" applyBorder="1" applyAlignment="1" applyProtection="1">
      <alignment horizontal="left" vertical="center"/>
      <protection/>
    </xf>
  </cellXfs>
  <cellStyles count="44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 [0]" xfId="35"/>
    <cellStyle name="Kontrolní buňka" xfId="36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000000"/>
      <rgbColor rgb="00000000"/>
      <rgbColor rgb="00DBDBDB"/>
      <rgbColor rgb="00000000"/>
      <rgbColor rgb="00C0C0C0"/>
      <rgbColor rgb="00000000"/>
      <rgbColor rgb="00C0C0C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657225</xdr:colOff>
      <xdr:row>0</xdr:row>
      <xdr:rowOff>885825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048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657225</xdr:colOff>
      <xdr:row>0</xdr:row>
      <xdr:rowOff>885825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048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285750</xdr:colOff>
      <xdr:row>0</xdr:row>
      <xdr:rowOff>885825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953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276225</xdr:colOff>
      <xdr:row>0</xdr:row>
      <xdr:rowOff>885825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858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298"/>
  <sheetViews>
    <sheetView tabSelected="1" zoomScalePageLayoutView="0" workbookViewId="0" topLeftCell="A1">
      <pane ySplit="11" topLeftCell="A108" activePane="bottomLeft" state="frozen"/>
      <selection pane="topLeft" activeCell="A1" sqref="A1"/>
      <selection pane="bottomLeft" activeCell="N117" sqref="N117"/>
    </sheetView>
  </sheetViews>
  <sheetFormatPr defaultColWidth="11.57421875" defaultRowHeight="12.75"/>
  <cols>
    <col min="1" max="1" width="3.7109375" style="0" customWidth="1"/>
    <col min="2" max="2" width="14.28125" style="0" customWidth="1"/>
    <col min="3" max="3" width="57.28125" style="0" customWidth="1"/>
    <col min="4" max="5" width="11.57421875" style="0" customWidth="1"/>
    <col min="6" max="6" width="4.8515625" style="0" customWidth="1"/>
    <col min="7" max="7" width="12.8515625" style="0" customWidth="1"/>
    <col min="8" max="8" width="12.00390625" style="0" customWidth="1"/>
    <col min="9" max="11" width="14.28125" style="0" customWidth="1"/>
    <col min="12" max="12" width="11.7109375" style="0" customWidth="1"/>
    <col min="13" max="24" width="11.57421875" style="0" customWidth="1"/>
    <col min="25" max="62" width="12.140625" style="0" hidden="1" customWidth="1"/>
  </cols>
  <sheetData>
    <row r="1" spans="1:12" ht="72.75" customHeight="1">
      <c r="A1" s="100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3" ht="12.75">
      <c r="A2" s="102" t="s">
        <v>1</v>
      </c>
      <c r="B2" s="103"/>
      <c r="C2" s="104" t="s">
        <v>142</v>
      </c>
      <c r="D2" s="106" t="s">
        <v>375</v>
      </c>
      <c r="E2" s="103"/>
      <c r="F2" s="106" t="s">
        <v>6</v>
      </c>
      <c r="G2" s="103"/>
      <c r="H2" s="107" t="s">
        <v>390</v>
      </c>
      <c r="I2" s="107" t="s">
        <v>396</v>
      </c>
      <c r="J2" s="103"/>
      <c r="K2" s="103"/>
      <c r="L2" s="108"/>
      <c r="M2" s="33"/>
    </row>
    <row r="3" spans="1:13" ht="12.75">
      <c r="A3" s="99"/>
      <c r="B3" s="66"/>
      <c r="C3" s="105"/>
      <c r="D3" s="66"/>
      <c r="E3" s="66"/>
      <c r="F3" s="66"/>
      <c r="G3" s="66"/>
      <c r="H3" s="66"/>
      <c r="I3" s="66"/>
      <c r="J3" s="66"/>
      <c r="K3" s="66"/>
      <c r="L3" s="97"/>
      <c r="M3" s="33"/>
    </row>
    <row r="4" spans="1:13" ht="12.75">
      <c r="A4" s="92" t="s">
        <v>2</v>
      </c>
      <c r="B4" s="66"/>
      <c r="C4" s="65" t="s">
        <v>143</v>
      </c>
      <c r="D4" s="96" t="s">
        <v>376</v>
      </c>
      <c r="E4" s="66"/>
      <c r="F4" s="96" t="s">
        <v>379</v>
      </c>
      <c r="G4" s="66"/>
      <c r="H4" s="65" t="s">
        <v>391</v>
      </c>
      <c r="I4" s="65" t="s">
        <v>397</v>
      </c>
      <c r="J4" s="66"/>
      <c r="K4" s="66"/>
      <c r="L4" s="97"/>
      <c r="M4" s="33"/>
    </row>
    <row r="5" spans="1:13" ht="12.75">
      <c r="A5" s="99"/>
      <c r="B5" s="66"/>
      <c r="C5" s="66"/>
      <c r="D5" s="66"/>
      <c r="E5" s="66"/>
      <c r="F5" s="66"/>
      <c r="G5" s="66"/>
      <c r="H5" s="66"/>
      <c r="I5" s="66"/>
      <c r="J5" s="66"/>
      <c r="K5" s="66"/>
      <c r="L5" s="97"/>
      <c r="M5" s="33"/>
    </row>
    <row r="6" spans="1:13" ht="12.75">
      <c r="A6" s="92" t="s">
        <v>3</v>
      </c>
      <c r="B6" s="66"/>
      <c r="C6" s="65" t="s">
        <v>144</v>
      </c>
      <c r="D6" s="96" t="s">
        <v>377</v>
      </c>
      <c r="E6" s="66"/>
      <c r="F6" s="96" t="s">
        <v>379</v>
      </c>
      <c r="G6" s="66"/>
      <c r="H6" s="65" t="s">
        <v>392</v>
      </c>
      <c r="I6" s="65" t="s">
        <v>398</v>
      </c>
      <c r="J6" s="66"/>
      <c r="K6" s="66"/>
      <c r="L6" s="97"/>
      <c r="M6" s="33"/>
    </row>
    <row r="7" spans="1:13" ht="12.75">
      <c r="A7" s="99"/>
      <c r="B7" s="66"/>
      <c r="C7" s="66"/>
      <c r="D7" s="66"/>
      <c r="E7" s="66"/>
      <c r="F7" s="66"/>
      <c r="G7" s="66"/>
      <c r="H7" s="66"/>
      <c r="I7" s="66"/>
      <c r="J7" s="66"/>
      <c r="K7" s="66"/>
      <c r="L7" s="97"/>
      <c r="M7" s="33"/>
    </row>
    <row r="8" spans="1:13" ht="12.75">
      <c r="A8" s="92" t="s">
        <v>4</v>
      </c>
      <c r="B8" s="66"/>
      <c r="C8" s="95">
        <v>0</v>
      </c>
      <c r="D8" s="96" t="s">
        <v>378</v>
      </c>
      <c r="E8" s="66"/>
      <c r="F8" s="96" t="s">
        <v>380</v>
      </c>
      <c r="G8" s="66"/>
      <c r="H8" s="65" t="s">
        <v>393</v>
      </c>
      <c r="I8" s="65" t="s">
        <v>399</v>
      </c>
      <c r="J8" s="66"/>
      <c r="K8" s="66"/>
      <c r="L8" s="97"/>
      <c r="M8" s="33"/>
    </row>
    <row r="9" spans="1:13" ht="12.75">
      <c r="A9" s="93"/>
      <c r="B9" s="94"/>
      <c r="C9" s="94"/>
      <c r="D9" s="94"/>
      <c r="E9" s="94"/>
      <c r="F9" s="94"/>
      <c r="G9" s="94"/>
      <c r="H9" s="94"/>
      <c r="I9" s="94"/>
      <c r="J9" s="94"/>
      <c r="K9" s="94"/>
      <c r="L9" s="98"/>
      <c r="M9" s="33"/>
    </row>
    <row r="10" spans="1:13" ht="12.75">
      <c r="A10" s="1" t="s">
        <v>5</v>
      </c>
      <c r="B10" s="11" t="s">
        <v>71</v>
      </c>
      <c r="C10" s="81" t="s">
        <v>145</v>
      </c>
      <c r="D10" s="82"/>
      <c r="E10" s="83"/>
      <c r="F10" s="11" t="s">
        <v>381</v>
      </c>
      <c r="G10" s="16" t="s">
        <v>389</v>
      </c>
      <c r="H10" s="21" t="s">
        <v>394</v>
      </c>
      <c r="I10" s="84" t="s">
        <v>400</v>
      </c>
      <c r="J10" s="85"/>
      <c r="K10" s="86"/>
      <c r="L10" s="26" t="s">
        <v>405</v>
      </c>
      <c r="M10" s="34"/>
    </row>
    <row r="11" spans="1:62" ht="12.75">
      <c r="A11" s="2" t="s">
        <v>6</v>
      </c>
      <c r="B11" s="12" t="s">
        <v>6</v>
      </c>
      <c r="C11" s="87" t="s">
        <v>146</v>
      </c>
      <c r="D11" s="88"/>
      <c r="E11" s="89"/>
      <c r="F11" s="12" t="s">
        <v>6</v>
      </c>
      <c r="G11" s="12" t="s">
        <v>6</v>
      </c>
      <c r="H11" s="22" t="s">
        <v>395</v>
      </c>
      <c r="I11" s="23" t="s">
        <v>401</v>
      </c>
      <c r="J11" s="24" t="s">
        <v>403</v>
      </c>
      <c r="K11" s="25" t="s">
        <v>404</v>
      </c>
      <c r="L11" s="27" t="s">
        <v>406</v>
      </c>
      <c r="M11" s="34"/>
      <c r="Z11" s="29" t="s">
        <v>408</v>
      </c>
      <c r="AA11" s="29" t="s">
        <v>409</v>
      </c>
      <c r="AB11" s="29" t="s">
        <v>410</v>
      </c>
      <c r="AC11" s="29" t="s">
        <v>411</v>
      </c>
      <c r="AD11" s="29" t="s">
        <v>412</v>
      </c>
      <c r="AE11" s="29" t="s">
        <v>413</v>
      </c>
      <c r="AF11" s="29" t="s">
        <v>414</v>
      </c>
      <c r="AG11" s="29" t="s">
        <v>415</v>
      </c>
      <c r="AH11" s="29" t="s">
        <v>416</v>
      </c>
      <c r="BH11" s="29" t="s">
        <v>452</v>
      </c>
      <c r="BI11" s="29" t="s">
        <v>453</v>
      </c>
      <c r="BJ11" s="29" t="s">
        <v>454</v>
      </c>
    </row>
    <row r="12" spans="1:12" ht="12.75">
      <c r="A12" s="3"/>
      <c r="B12" s="13"/>
      <c r="C12" s="90" t="s">
        <v>147</v>
      </c>
      <c r="D12" s="91"/>
      <c r="E12" s="91"/>
      <c r="F12" s="3" t="s">
        <v>6</v>
      </c>
      <c r="G12" s="3" t="s">
        <v>6</v>
      </c>
      <c r="H12" s="3" t="s">
        <v>6</v>
      </c>
      <c r="I12" s="37">
        <f>I13+I16+I27+I42+I51+I54+I57+I66+I71+I74</f>
        <v>0</v>
      </c>
      <c r="J12" s="37">
        <f>J13+J16+J27+J42+J51+J54+J57+J66+J71+J74</f>
        <v>0</v>
      </c>
      <c r="K12" s="37">
        <f>K13+K16+K27+K42+K51+K54+K57+K66+K71+K74</f>
        <v>0</v>
      </c>
      <c r="L12" s="28"/>
    </row>
    <row r="13" spans="1:47" ht="12.75">
      <c r="A13" s="4"/>
      <c r="B13" s="14" t="s">
        <v>72</v>
      </c>
      <c r="C13" s="75" t="s">
        <v>148</v>
      </c>
      <c r="D13" s="76"/>
      <c r="E13" s="76"/>
      <c r="F13" s="4" t="s">
        <v>6</v>
      </c>
      <c r="G13" s="4" t="s">
        <v>6</v>
      </c>
      <c r="H13" s="4" t="s">
        <v>6</v>
      </c>
      <c r="I13" s="38">
        <f>SUM(I14:I14)</f>
        <v>0</v>
      </c>
      <c r="J13" s="38">
        <f>SUM(J14:J14)</f>
        <v>0</v>
      </c>
      <c r="K13" s="38">
        <f>SUM(K14:K14)</f>
        <v>0</v>
      </c>
      <c r="L13" s="29"/>
      <c r="AI13" s="29" t="s">
        <v>417</v>
      </c>
      <c r="AS13" s="38">
        <f>SUM(AJ14:AJ14)</f>
        <v>0</v>
      </c>
      <c r="AT13" s="38">
        <f>SUM(AK14:AK14)</f>
        <v>0</v>
      </c>
      <c r="AU13" s="38">
        <f>SUM(AL14:AL14)</f>
        <v>0</v>
      </c>
    </row>
    <row r="14" spans="1:62" ht="12.75">
      <c r="A14" s="5" t="s">
        <v>7</v>
      </c>
      <c r="B14" s="5" t="s">
        <v>73</v>
      </c>
      <c r="C14" s="69" t="s">
        <v>149</v>
      </c>
      <c r="D14" s="70"/>
      <c r="E14" s="70"/>
      <c r="F14" s="5" t="s">
        <v>382</v>
      </c>
      <c r="G14" s="17">
        <v>1</v>
      </c>
      <c r="H14" s="17">
        <v>0</v>
      </c>
      <c r="I14" s="17">
        <f>G14*AO14</f>
        <v>0</v>
      </c>
      <c r="J14" s="17">
        <f>G14*AP14</f>
        <v>0</v>
      </c>
      <c r="K14" s="17">
        <f>G14*H14</f>
        <v>0</v>
      </c>
      <c r="L14" s="30" t="s">
        <v>407</v>
      </c>
      <c r="Z14" s="35">
        <f>IF(AQ14="5",BJ14,0)</f>
        <v>0</v>
      </c>
      <c r="AB14" s="35">
        <f>IF(AQ14="1",BH14,0)</f>
        <v>0</v>
      </c>
      <c r="AC14" s="35">
        <f>IF(AQ14="1",BI14,0)</f>
        <v>0</v>
      </c>
      <c r="AD14" s="35">
        <f>IF(AQ14="7",BH14,0)</f>
        <v>0</v>
      </c>
      <c r="AE14" s="35">
        <f>IF(AQ14="7",BI14,0)</f>
        <v>0</v>
      </c>
      <c r="AF14" s="35">
        <f>IF(AQ14="2",BH14,0)</f>
        <v>0</v>
      </c>
      <c r="AG14" s="35">
        <f>IF(AQ14="2",BI14,0)</f>
        <v>0</v>
      </c>
      <c r="AH14" s="35">
        <f>IF(AQ14="0",BJ14,0)</f>
        <v>0</v>
      </c>
      <c r="AI14" s="29" t="s">
        <v>417</v>
      </c>
      <c r="AJ14" s="17">
        <f>IF(AN14=0,K14,0)</f>
        <v>0</v>
      </c>
      <c r="AK14" s="17">
        <f>IF(AN14=15,K14,0)</f>
        <v>0</v>
      </c>
      <c r="AL14" s="17">
        <f>IF(AN14=21,K14,0)</f>
        <v>0</v>
      </c>
      <c r="AN14" s="35">
        <v>21</v>
      </c>
      <c r="AO14" s="35">
        <f>H14*0.486284896206156</f>
        <v>0</v>
      </c>
      <c r="AP14" s="35">
        <f>H14*(1-0.486284896206156)</f>
        <v>0</v>
      </c>
      <c r="AQ14" s="30" t="s">
        <v>7</v>
      </c>
      <c r="AV14" s="35">
        <f>AW14+AX14</f>
        <v>0</v>
      </c>
      <c r="AW14" s="35">
        <f>G14*AO14</f>
        <v>0</v>
      </c>
      <c r="AX14" s="35">
        <f>G14*AP14</f>
        <v>0</v>
      </c>
      <c r="AY14" s="36" t="s">
        <v>420</v>
      </c>
      <c r="AZ14" s="36" t="s">
        <v>436</v>
      </c>
      <c r="BA14" s="29" t="s">
        <v>449</v>
      </c>
      <c r="BC14" s="35">
        <f>AW14+AX14</f>
        <v>0</v>
      </c>
      <c r="BD14" s="35">
        <f>H14/(100-BE14)*100</f>
        <v>0</v>
      </c>
      <c r="BE14" s="35">
        <v>0</v>
      </c>
      <c r="BF14" s="35">
        <f>14</f>
        <v>14</v>
      </c>
      <c r="BH14" s="17">
        <f>G14*AO14</f>
        <v>0</v>
      </c>
      <c r="BI14" s="17">
        <f>G14*AP14</f>
        <v>0</v>
      </c>
      <c r="BJ14" s="17">
        <f>G14*H14</f>
        <v>0</v>
      </c>
    </row>
    <row r="15" spans="3:7" ht="12.75">
      <c r="C15" s="67" t="s">
        <v>150</v>
      </c>
      <c r="D15" s="68"/>
      <c r="E15" s="68"/>
      <c r="G15" s="18">
        <v>1</v>
      </c>
    </row>
    <row r="16" spans="1:47" ht="12.75">
      <c r="A16" s="4"/>
      <c r="B16" s="14" t="s">
        <v>74</v>
      </c>
      <c r="C16" s="75" t="s">
        <v>151</v>
      </c>
      <c r="D16" s="76"/>
      <c r="E16" s="76"/>
      <c r="F16" s="4" t="s">
        <v>6</v>
      </c>
      <c r="G16" s="4" t="s">
        <v>6</v>
      </c>
      <c r="H16" s="4" t="s">
        <v>6</v>
      </c>
      <c r="I16" s="38">
        <f>SUM(I17:I25)</f>
        <v>0</v>
      </c>
      <c r="J16" s="38">
        <f>SUM(J17:J25)</f>
        <v>0</v>
      </c>
      <c r="K16" s="38">
        <f>SUM(K17:K25)</f>
        <v>0</v>
      </c>
      <c r="L16" s="29"/>
      <c r="AI16" s="29" t="s">
        <v>417</v>
      </c>
      <c r="AS16" s="38">
        <f>SUM(AJ17:AJ25)</f>
        <v>0</v>
      </c>
      <c r="AT16" s="38">
        <f>SUM(AK17:AK25)</f>
        <v>0</v>
      </c>
      <c r="AU16" s="38">
        <f>SUM(AL17:AL25)</f>
        <v>0</v>
      </c>
    </row>
    <row r="17" spans="1:62" ht="12.75">
      <c r="A17" s="5" t="s">
        <v>8</v>
      </c>
      <c r="B17" s="5" t="s">
        <v>75</v>
      </c>
      <c r="C17" s="69" t="s">
        <v>152</v>
      </c>
      <c r="D17" s="70"/>
      <c r="E17" s="70"/>
      <c r="F17" s="5" t="s">
        <v>382</v>
      </c>
      <c r="G17" s="17">
        <v>1</v>
      </c>
      <c r="H17" s="17">
        <v>0</v>
      </c>
      <c r="I17" s="17">
        <f>G17*AO17</f>
        <v>0</v>
      </c>
      <c r="J17" s="17">
        <f>G17*AP17</f>
        <v>0</v>
      </c>
      <c r="K17" s="17">
        <f>G17*H17</f>
        <v>0</v>
      </c>
      <c r="L17" s="30" t="s">
        <v>407</v>
      </c>
      <c r="Z17" s="35">
        <f>IF(AQ17="5",BJ17,0)</f>
        <v>0</v>
      </c>
      <c r="AB17" s="35">
        <f>IF(AQ17="1",BH17,0)</f>
        <v>0</v>
      </c>
      <c r="AC17" s="35">
        <f>IF(AQ17="1",BI17,0)</f>
        <v>0</v>
      </c>
      <c r="AD17" s="35">
        <f>IF(AQ17="7",BH17,0)</f>
        <v>0</v>
      </c>
      <c r="AE17" s="35">
        <f>IF(AQ17="7",BI17,0)</f>
        <v>0</v>
      </c>
      <c r="AF17" s="35">
        <f>IF(AQ17="2",BH17,0)</f>
        <v>0</v>
      </c>
      <c r="AG17" s="35">
        <f>IF(AQ17="2",BI17,0)</f>
        <v>0</v>
      </c>
      <c r="AH17" s="35">
        <f>IF(AQ17="0",BJ17,0)</f>
        <v>0</v>
      </c>
      <c r="AI17" s="29" t="s">
        <v>417</v>
      </c>
      <c r="AJ17" s="17">
        <f>IF(AN17=0,K17,0)</f>
        <v>0</v>
      </c>
      <c r="AK17" s="17">
        <f>IF(AN17=15,K17,0)</f>
        <v>0</v>
      </c>
      <c r="AL17" s="17">
        <f>IF(AN17=21,K17,0)</f>
        <v>0</v>
      </c>
      <c r="AN17" s="35">
        <v>21</v>
      </c>
      <c r="AO17" s="35">
        <f>H17*0</f>
        <v>0</v>
      </c>
      <c r="AP17" s="35">
        <f>H17*(1-0)</f>
        <v>0</v>
      </c>
      <c r="AQ17" s="30" t="s">
        <v>13</v>
      </c>
      <c r="AV17" s="35">
        <f>AW17+AX17</f>
        <v>0</v>
      </c>
      <c r="AW17" s="35">
        <f>G17*AO17</f>
        <v>0</v>
      </c>
      <c r="AX17" s="35">
        <f>G17*AP17</f>
        <v>0</v>
      </c>
      <c r="AY17" s="36" t="s">
        <v>421</v>
      </c>
      <c r="AZ17" s="36" t="s">
        <v>437</v>
      </c>
      <c r="BA17" s="29" t="s">
        <v>449</v>
      </c>
      <c r="BC17" s="35">
        <f>AW17+AX17</f>
        <v>0</v>
      </c>
      <c r="BD17" s="35">
        <f>H17/(100-BE17)*100</f>
        <v>0</v>
      </c>
      <c r="BE17" s="35">
        <v>0</v>
      </c>
      <c r="BF17" s="35">
        <f>17</f>
        <v>17</v>
      </c>
      <c r="BH17" s="17">
        <f>G17*AO17</f>
        <v>0</v>
      </c>
      <c r="BI17" s="17">
        <f>G17*AP17</f>
        <v>0</v>
      </c>
      <c r="BJ17" s="17">
        <f>G17*H17</f>
        <v>0</v>
      </c>
    </row>
    <row r="18" spans="3:7" ht="12.75">
      <c r="C18" s="67" t="s">
        <v>153</v>
      </c>
      <c r="D18" s="68"/>
      <c r="E18" s="68"/>
      <c r="G18" s="18">
        <v>1</v>
      </c>
    </row>
    <row r="19" spans="1:62" ht="12.75">
      <c r="A19" s="6" t="s">
        <v>9</v>
      </c>
      <c r="B19" s="6" t="s">
        <v>76</v>
      </c>
      <c r="C19" s="79" t="s">
        <v>154</v>
      </c>
      <c r="D19" s="80"/>
      <c r="E19" s="80"/>
      <c r="F19" s="6" t="s">
        <v>382</v>
      </c>
      <c r="G19" s="19">
        <v>1</v>
      </c>
      <c r="H19" s="19">
        <v>0</v>
      </c>
      <c r="I19" s="19">
        <f>G19*AO19</f>
        <v>0</v>
      </c>
      <c r="J19" s="19">
        <f>G19*AP19</f>
        <v>0</v>
      </c>
      <c r="K19" s="19">
        <f>G19*H19</f>
        <v>0</v>
      </c>
      <c r="L19" s="31" t="s">
        <v>407</v>
      </c>
      <c r="Z19" s="35">
        <f>IF(AQ19="5",BJ19,0)</f>
        <v>0</v>
      </c>
      <c r="AB19" s="35">
        <f>IF(AQ19="1",BH19,0)</f>
        <v>0</v>
      </c>
      <c r="AC19" s="35">
        <f>IF(AQ19="1",BI19,0)</f>
        <v>0</v>
      </c>
      <c r="AD19" s="35">
        <f>IF(AQ19="7",BH19,0)</f>
        <v>0</v>
      </c>
      <c r="AE19" s="35">
        <f>IF(AQ19="7",BI19,0)</f>
        <v>0</v>
      </c>
      <c r="AF19" s="35">
        <f>IF(AQ19="2",BH19,0)</f>
        <v>0</v>
      </c>
      <c r="AG19" s="35">
        <f>IF(AQ19="2",BI19,0)</f>
        <v>0</v>
      </c>
      <c r="AH19" s="35">
        <f>IF(AQ19="0",BJ19,0)</f>
        <v>0</v>
      </c>
      <c r="AI19" s="29" t="s">
        <v>417</v>
      </c>
      <c r="AJ19" s="19">
        <f>IF(AN19=0,K19,0)</f>
        <v>0</v>
      </c>
      <c r="AK19" s="19">
        <f>IF(AN19=15,K19,0)</f>
        <v>0</v>
      </c>
      <c r="AL19" s="19">
        <f>IF(AN19=21,K19,0)</f>
        <v>0</v>
      </c>
      <c r="AN19" s="35">
        <v>21</v>
      </c>
      <c r="AO19" s="35">
        <f>H19*1</f>
        <v>0</v>
      </c>
      <c r="AP19" s="35">
        <f>H19*(1-1)</f>
        <v>0</v>
      </c>
      <c r="AQ19" s="31" t="s">
        <v>13</v>
      </c>
      <c r="AV19" s="35">
        <f>AW19+AX19</f>
        <v>0</v>
      </c>
      <c r="AW19" s="35">
        <f>G19*AO19</f>
        <v>0</v>
      </c>
      <c r="AX19" s="35">
        <f>G19*AP19</f>
        <v>0</v>
      </c>
      <c r="AY19" s="36" t="s">
        <v>421</v>
      </c>
      <c r="AZ19" s="36" t="s">
        <v>437</v>
      </c>
      <c r="BA19" s="29" t="s">
        <v>449</v>
      </c>
      <c r="BC19" s="35">
        <f>AW19+AX19</f>
        <v>0</v>
      </c>
      <c r="BD19" s="35">
        <f>H19/(100-BE19)*100</f>
        <v>0</v>
      </c>
      <c r="BE19" s="35">
        <v>0</v>
      </c>
      <c r="BF19" s="35">
        <f>19</f>
        <v>19</v>
      </c>
      <c r="BH19" s="19">
        <f>G19*AO19</f>
        <v>0</v>
      </c>
      <c r="BI19" s="19">
        <f>G19*AP19</f>
        <v>0</v>
      </c>
      <c r="BJ19" s="19">
        <f>G19*H19</f>
        <v>0</v>
      </c>
    </row>
    <row r="20" spans="3:7" ht="12.75">
      <c r="C20" s="67" t="s">
        <v>155</v>
      </c>
      <c r="D20" s="68"/>
      <c r="E20" s="68"/>
      <c r="G20" s="18">
        <v>1</v>
      </c>
    </row>
    <row r="21" spans="1:62" ht="12.75">
      <c r="A21" s="5" t="s">
        <v>10</v>
      </c>
      <c r="B21" s="5" t="s">
        <v>77</v>
      </c>
      <c r="C21" s="69" t="s">
        <v>156</v>
      </c>
      <c r="D21" s="70"/>
      <c r="E21" s="70"/>
      <c r="F21" s="5" t="s">
        <v>382</v>
      </c>
      <c r="G21" s="17">
        <v>1</v>
      </c>
      <c r="H21" s="17">
        <v>0</v>
      </c>
      <c r="I21" s="17">
        <f>G21*AO21</f>
        <v>0</v>
      </c>
      <c r="J21" s="17">
        <f>G21*AP21</f>
        <v>0</v>
      </c>
      <c r="K21" s="17">
        <f>G21*H21</f>
        <v>0</v>
      </c>
      <c r="L21" s="30" t="s">
        <v>407</v>
      </c>
      <c r="Z21" s="35">
        <f>IF(AQ21="5",BJ21,0)</f>
        <v>0</v>
      </c>
      <c r="AB21" s="35">
        <f>IF(AQ21="1",BH21,0)</f>
        <v>0</v>
      </c>
      <c r="AC21" s="35">
        <f>IF(AQ21="1",BI21,0)</f>
        <v>0</v>
      </c>
      <c r="AD21" s="35">
        <f>IF(AQ21="7",BH21,0)</f>
        <v>0</v>
      </c>
      <c r="AE21" s="35">
        <f>IF(AQ21="7",BI21,0)</f>
        <v>0</v>
      </c>
      <c r="AF21" s="35">
        <f>IF(AQ21="2",BH21,0)</f>
        <v>0</v>
      </c>
      <c r="AG21" s="35">
        <f>IF(AQ21="2",BI21,0)</f>
        <v>0</v>
      </c>
      <c r="AH21" s="35">
        <f>IF(AQ21="0",BJ21,0)</f>
        <v>0</v>
      </c>
      <c r="AI21" s="29" t="s">
        <v>417</v>
      </c>
      <c r="AJ21" s="17">
        <f>IF(AN21=0,K21,0)</f>
        <v>0</v>
      </c>
      <c r="AK21" s="17">
        <f>IF(AN21=15,K21,0)</f>
        <v>0</v>
      </c>
      <c r="AL21" s="17">
        <f>IF(AN21=21,K21,0)</f>
        <v>0</v>
      </c>
      <c r="AN21" s="35">
        <v>21</v>
      </c>
      <c r="AO21" s="35">
        <f>H21*0</f>
        <v>0</v>
      </c>
      <c r="AP21" s="35">
        <f>H21*(1-0)</f>
        <v>0</v>
      </c>
      <c r="AQ21" s="30" t="s">
        <v>13</v>
      </c>
      <c r="AV21" s="35">
        <f>AW21+AX21</f>
        <v>0</v>
      </c>
      <c r="AW21" s="35">
        <f>G21*AO21</f>
        <v>0</v>
      </c>
      <c r="AX21" s="35">
        <f>G21*AP21</f>
        <v>0</v>
      </c>
      <c r="AY21" s="36" t="s">
        <v>421</v>
      </c>
      <c r="AZ21" s="36" t="s">
        <v>437</v>
      </c>
      <c r="BA21" s="29" t="s">
        <v>449</v>
      </c>
      <c r="BC21" s="35">
        <f>AW21+AX21</f>
        <v>0</v>
      </c>
      <c r="BD21" s="35">
        <f>H21/(100-BE21)*100</f>
        <v>0</v>
      </c>
      <c r="BE21" s="35">
        <v>0</v>
      </c>
      <c r="BF21" s="35">
        <f>21</f>
        <v>21</v>
      </c>
      <c r="BH21" s="17">
        <f>G21*AO21</f>
        <v>0</v>
      </c>
      <c r="BI21" s="17">
        <f>G21*AP21</f>
        <v>0</v>
      </c>
      <c r="BJ21" s="17">
        <f>G21*H21</f>
        <v>0</v>
      </c>
    </row>
    <row r="22" spans="3:7" ht="12.75">
      <c r="C22" s="67" t="s">
        <v>157</v>
      </c>
      <c r="D22" s="68"/>
      <c r="E22" s="68"/>
      <c r="G22" s="18">
        <v>1</v>
      </c>
    </row>
    <row r="23" spans="1:62" ht="12.75">
      <c r="A23" s="6" t="s">
        <v>11</v>
      </c>
      <c r="B23" s="6" t="s">
        <v>78</v>
      </c>
      <c r="C23" s="79" t="s">
        <v>158</v>
      </c>
      <c r="D23" s="80"/>
      <c r="E23" s="80"/>
      <c r="F23" s="6" t="s">
        <v>382</v>
      </c>
      <c r="G23" s="19">
        <v>1</v>
      </c>
      <c r="H23" s="19">
        <v>0</v>
      </c>
      <c r="I23" s="19">
        <f>G23*AO23</f>
        <v>0</v>
      </c>
      <c r="J23" s="19">
        <f>G23*AP23</f>
        <v>0</v>
      </c>
      <c r="K23" s="19">
        <f>G23*H23</f>
        <v>0</v>
      </c>
      <c r="L23" s="31" t="s">
        <v>407</v>
      </c>
      <c r="Z23" s="35">
        <f>IF(AQ23="5",BJ23,0)</f>
        <v>0</v>
      </c>
      <c r="AB23" s="35">
        <f>IF(AQ23="1",BH23,0)</f>
        <v>0</v>
      </c>
      <c r="AC23" s="35">
        <f>IF(AQ23="1",BI23,0)</f>
        <v>0</v>
      </c>
      <c r="AD23" s="35">
        <f>IF(AQ23="7",BH23,0)</f>
        <v>0</v>
      </c>
      <c r="AE23" s="35">
        <f>IF(AQ23="7",BI23,0)</f>
        <v>0</v>
      </c>
      <c r="AF23" s="35">
        <f>IF(AQ23="2",BH23,0)</f>
        <v>0</v>
      </c>
      <c r="AG23" s="35">
        <f>IF(AQ23="2",BI23,0)</f>
        <v>0</v>
      </c>
      <c r="AH23" s="35">
        <f>IF(AQ23="0",BJ23,0)</f>
        <v>0</v>
      </c>
      <c r="AI23" s="29" t="s">
        <v>417</v>
      </c>
      <c r="AJ23" s="19">
        <f>IF(AN23=0,K23,0)</f>
        <v>0</v>
      </c>
      <c r="AK23" s="19">
        <f>IF(AN23=15,K23,0)</f>
        <v>0</v>
      </c>
      <c r="AL23" s="19">
        <f>IF(AN23=21,K23,0)</f>
        <v>0</v>
      </c>
      <c r="AN23" s="35">
        <v>21</v>
      </c>
      <c r="AO23" s="35">
        <f>H23*1</f>
        <v>0</v>
      </c>
      <c r="AP23" s="35">
        <f>H23*(1-1)</f>
        <v>0</v>
      </c>
      <c r="AQ23" s="31" t="s">
        <v>13</v>
      </c>
      <c r="AV23" s="35">
        <f>AW23+AX23</f>
        <v>0</v>
      </c>
      <c r="AW23" s="35">
        <f>G23*AO23</f>
        <v>0</v>
      </c>
      <c r="AX23" s="35">
        <f>G23*AP23</f>
        <v>0</v>
      </c>
      <c r="AY23" s="36" t="s">
        <v>421</v>
      </c>
      <c r="AZ23" s="36" t="s">
        <v>437</v>
      </c>
      <c r="BA23" s="29" t="s">
        <v>449</v>
      </c>
      <c r="BC23" s="35">
        <f>AW23+AX23</f>
        <v>0</v>
      </c>
      <c r="BD23" s="35">
        <f>H23/(100-BE23)*100</f>
        <v>0</v>
      </c>
      <c r="BE23" s="35">
        <v>0</v>
      </c>
      <c r="BF23" s="35">
        <f>23</f>
        <v>23</v>
      </c>
      <c r="BH23" s="19">
        <f>G23*AO23</f>
        <v>0</v>
      </c>
      <c r="BI23" s="19">
        <f>G23*AP23</f>
        <v>0</v>
      </c>
      <c r="BJ23" s="19">
        <f>G23*H23</f>
        <v>0</v>
      </c>
    </row>
    <row r="24" spans="3:7" ht="12.75">
      <c r="C24" s="67" t="s">
        <v>157</v>
      </c>
      <c r="D24" s="68"/>
      <c r="E24" s="68"/>
      <c r="G24" s="18">
        <v>1</v>
      </c>
    </row>
    <row r="25" spans="1:62" ht="12.75">
      <c r="A25" s="5" t="s">
        <v>12</v>
      </c>
      <c r="B25" s="5" t="s">
        <v>79</v>
      </c>
      <c r="C25" s="69" t="s">
        <v>159</v>
      </c>
      <c r="D25" s="70"/>
      <c r="E25" s="70"/>
      <c r="F25" s="5" t="s">
        <v>383</v>
      </c>
      <c r="G25" s="17">
        <v>0.094</v>
      </c>
      <c r="H25" s="17">
        <v>0</v>
      </c>
      <c r="I25" s="17">
        <f>G25*AO25</f>
        <v>0</v>
      </c>
      <c r="J25" s="17">
        <f>G25*AP25</f>
        <v>0</v>
      </c>
      <c r="K25" s="17">
        <f>G25*H25</f>
        <v>0</v>
      </c>
      <c r="L25" s="30" t="s">
        <v>407</v>
      </c>
      <c r="Z25" s="35">
        <f>IF(AQ25="5",BJ25,0)</f>
        <v>0</v>
      </c>
      <c r="AB25" s="35">
        <f>IF(AQ25="1",BH25,0)</f>
        <v>0</v>
      </c>
      <c r="AC25" s="35">
        <f>IF(AQ25="1",BI25,0)</f>
        <v>0</v>
      </c>
      <c r="AD25" s="35">
        <f>IF(AQ25="7",BH25,0)</f>
        <v>0</v>
      </c>
      <c r="AE25" s="35">
        <f>IF(AQ25="7",BI25,0)</f>
        <v>0</v>
      </c>
      <c r="AF25" s="35">
        <f>IF(AQ25="2",BH25,0)</f>
        <v>0</v>
      </c>
      <c r="AG25" s="35">
        <f>IF(AQ25="2",BI25,0)</f>
        <v>0</v>
      </c>
      <c r="AH25" s="35">
        <f>IF(AQ25="0",BJ25,0)</f>
        <v>0</v>
      </c>
      <c r="AI25" s="29" t="s">
        <v>417</v>
      </c>
      <c r="AJ25" s="17">
        <f>IF(AN25=0,K25,0)</f>
        <v>0</v>
      </c>
      <c r="AK25" s="17">
        <f>IF(AN25=15,K25,0)</f>
        <v>0</v>
      </c>
      <c r="AL25" s="17">
        <f>IF(AN25=21,K25,0)</f>
        <v>0</v>
      </c>
      <c r="AN25" s="35">
        <v>21</v>
      </c>
      <c r="AO25" s="35">
        <f>H25*0</f>
        <v>0</v>
      </c>
      <c r="AP25" s="35">
        <f>H25*(1-0)</f>
        <v>0</v>
      </c>
      <c r="AQ25" s="30" t="s">
        <v>11</v>
      </c>
      <c r="AV25" s="35">
        <f>AW25+AX25</f>
        <v>0</v>
      </c>
      <c r="AW25" s="35">
        <f>G25*AO25</f>
        <v>0</v>
      </c>
      <c r="AX25" s="35">
        <f>G25*AP25</f>
        <v>0</v>
      </c>
      <c r="AY25" s="36" t="s">
        <v>421</v>
      </c>
      <c r="AZ25" s="36" t="s">
        <v>437</v>
      </c>
      <c r="BA25" s="29" t="s">
        <v>449</v>
      </c>
      <c r="BC25" s="35">
        <f>AW25+AX25</f>
        <v>0</v>
      </c>
      <c r="BD25" s="35">
        <f>H25/(100-BE25)*100</f>
        <v>0</v>
      </c>
      <c r="BE25" s="35">
        <v>0</v>
      </c>
      <c r="BF25" s="35">
        <f>25</f>
        <v>25</v>
      </c>
      <c r="BH25" s="17">
        <f>G25*AO25</f>
        <v>0</v>
      </c>
      <c r="BI25" s="17">
        <f>G25*AP25</f>
        <v>0</v>
      </c>
      <c r="BJ25" s="17">
        <f>G25*H25</f>
        <v>0</v>
      </c>
    </row>
    <row r="26" spans="3:7" ht="12.75">
      <c r="C26" s="67" t="s">
        <v>160</v>
      </c>
      <c r="D26" s="68"/>
      <c r="E26" s="68"/>
      <c r="G26" s="18">
        <v>0.094</v>
      </c>
    </row>
    <row r="27" spans="1:47" ht="12.75">
      <c r="A27" s="4"/>
      <c r="B27" s="14" t="s">
        <v>80</v>
      </c>
      <c r="C27" s="75" t="s">
        <v>161</v>
      </c>
      <c r="D27" s="76"/>
      <c r="E27" s="76"/>
      <c r="F27" s="4" t="s">
        <v>6</v>
      </c>
      <c r="G27" s="4" t="s">
        <v>6</v>
      </c>
      <c r="H27" s="4" t="s">
        <v>6</v>
      </c>
      <c r="I27" s="38">
        <f>SUM(I28:I40)</f>
        <v>0</v>
      </c>
      <c r="J27" s="38">
        <f>SUM(J28:J40)</f>
        <v>0</v>
      </c>
      <c r="K27" s="38">
        <f>SUM(K28:K40)</f>
        <v>0</v>
      </c>
      <c r="L27" s="29"/>
      <c r="AI27" s="29" t="s">
        <v>417</v>
      </c>
      <c r="AS27" s="38">
        <f>SUM(AJ28:AJ40)</f>
        <v>0</v>
      </c>
      <c r="AT27" s="38">
        <f>SUM(AK28:AK40)</f>
        <v>0</v>
      </c>
      <c r="AU27" s="38">
        <f>SUM(AL28:AL40)</f>
        <v>0</v>
      </c>
    </row>
    <row r="28" spans="1:62" ht="12.75">
      <c r="A28" s="5" t="s">
        <v>13</v>
      </c>
      <c r="B28" s="5" t="s">
        <v>81</v>
      </c>
      <c r="C28" s="69" t="s">
        <v>162</v>
      </c>
      <c r="D28" s="70"/>
      <c r="E28" s="70"/>
      <c r="F28" s="5" t="s">
        <v>384</v>
      </c>
      <c r="G28" s="17">
        <v>1.731</v>
      </c>
      <c r="H28" s="17">
        <v>0</v>
      </c>
      <c r="I28" s="17">
        <f>G28*AO28</f>
        <v>0</v>
      </c>
      <c r="J28" s="17">
        <f>G28*AP28</f>
        <v>0</v>
      </c>
      <c r="K28" s="17">
        <f>G28*H28</f>
        <v>0</v>
      </c>
      <c r="L28" s="30" t="s">
        <v>407</v>
      </c>
      <c r="Z28" s="35">
        <f>IF(AQ28="5",BJ28,0)</f>
        <v>0</v>
      </c>
      <c r="AB28" s="35">
        <f>IF(AQ28="1",BH28,0)</f>
        <v>0</v>
      </c>
      <c r="AC28" s="35">
        <f>IF(AQ28="1",BI28,0)</f>
        <v>0</v>
      </c>
      <c r="AD28" s="35">
        <f>IF(AQ28="7",BH28,0)</f>
        <v>0</v>
      </c>
      <c r="AE28" s="35">
        <f>IF(AQ28="7",BI28,0)</f>
        <v>0</v>
      </c>
      <c r="AF28" s="35">
        <f>IF(AQ28="2",BH28,0)</f>
        <v>0</v>
      </c>
      <c r="AG28" s="35">
        <f>IF(AQ28="2",BI28,0)</f>
        <v>0</v>
      </c>
      <c r="AH28" s="35">
        <f>IF(AQ28="0",BJ28,0)</f>
        <v>0</v>
      </c>
      <c r="AI28" s="29" t="s">
        <v>417</v>
      </c>
      <c r="AJ28" s="17">
        <f>IF(AN28=0,K28,0)</f>
        <v>0</v>
      </c>
      <c r="AK28" s="17">
        <f>IF(AN28=15,K28,0)</f>
        <v>0</v>
      </c>
      <c r="AL28" s="17">
        <f>IF(AN28=21,K28,0)</f>
        <v>0</v>
      </c>
      <c r="AN28" s="35">
        <v>21</v>
      </c>
      <c r="AO28" s="35">
        <f>H28*0</f>
        <v>0</v>
      </c>
      <c r="AP28" s="35">
        <f>H28*(1-0)</f>
        <v>0</v>
      </c>
      <c r="AQ28" s="30" t="s">
        <v>13</v>
      </c>
      <c r="AV28" s="35">
        <f>AW28+AX28</f>
        <v>0</v>
      </c>
      <c r="AW28" s="35">
        <f>G28*AO28</f>
        <v>0</v>
      </c>
      <c r="AX28" s="35">
        <f>G28*AP28</f>
        <v>0</v>
      </c>
      <c r="AY28" s="36" t="s">
        <v>422</v>
      </c>
      <c r="AZ28" s="36" t="s">
        <v>438</v>
      </c>
      <c r="BA28" s="29" t="s">
        <v>449</v>
      </c>
      <c r="BC28" s="35">
        <f>AW28+AX28</f>
        <v>0</v>
      </c>
      <c r="BD28" s="35">
        <f>H28/(100-BE28)*100</f>
        <v>0</v>
      </c>
      <c r="BE28" s="35">
        <v>0</v>
      </c>
      <c r="BF28" s="35">
        <f>28</f>
        <v>28</v>
      </c>
      <c r="BH28" s="17">
        <f>G28*AO28</f>
        <v>0</v>
      </c>
      <c r="BI28" s="17">
        <f>G28*AP28</f>
        <v>0</v>
      </c>
      <c r="BJ28" s="17">
        <f>G28*H28</f>
        <v>0</v>
      </c>
    </row>
    <row r="29" spans="3:7" ht="12.75">
      <c r="C29" s="67" t="s">
        <v>163</v>
      </c>
      <c r="D29" s="68"/>
      <c r="E29" s="68"/>
      <c r="G29" s="18">
        <v>0.506</v>
      </c>
    </row>
    <row r="30" spans="3:7" ht="12.75">
      <c r="C30" s="67" t="s">
        <v>164</v>
      </c>
      <c r="D30" s="68"/>
      <c r="E30" s="68"/>
      <c r="G30" s="18">
        <v>1.225</v>
      </c>
    </row>
    <row r="31" spans="1:62" ht="12.75">
      <c r="A31" s="5" t="s">
        <v>14</v>
      </c>
      <c r="B31" s="5" t="s">
        <v>82</v>
      </c>
      <c r="C31" s="69" t="s">
        <v>165</v>
      </c>
      <c r="D31" s="70"/>
      <c r="E31" s="70"/>
      <c r="F31" s="5" t="s">
        <v>384</v>
      </c>
      <c r="G31" s="17">
        <v>1.731</v>
      </c>
      <c r="H31" s="17">
        <v>0</v>
      </c>
      <c r="I31" s="17">
        <f>G31*AO31</f>
        <v>0</v>
      </c>
      <c r="J31" s="17">
        <f>G31*AP31</f>
        <v>0</v>
      </c>
      <c r="K31" s="17">
        <f>G31*H31</f>
        <v>0</v>
      </c>
      <c r="L31" s="30" t="s">
        <v>407</v>
      </c>
      <c r="Z31" s="35">
        <f>IF(AQ31="5",BJ31,0)</f>
        <v>0</v>
      </c>
      <c r="AB31" s="35">
        <f>IF(AQ31="1",BH31,0)</f>
        <v>0</v>
      </c>
      <c r="AC31" s="35">
        <f>IF(AQ31="1",BI31,0)</f>
        <v>0</v>
      </c>
      <c r="AD31" s="35">
        <f>IF(AQ31="7",BH31,0)</f>
        <v>0</v>
      </c>
      <c r="AE31" s="35">
        <f>IF(AQ31="7",BI31,0)</f>
        <v>0</v>
      </c>
      <c r="AF31" s="35">
        <f>IF(AQ31="2",BH31,0)</f>
        <v>0</v>
      </c>
      <c r="AG31" s="35">
        <f>IF(AQ31="2",BI31,0)</f>
        <v>0</v>
      </c>
      <c r="AH31" s="35">
        <f>IF(AQ31="0",BJ31,0)</f>
        <v>0</v>
      </c>
      <c r="AI31" s="29" t="s">
        <v>417</v>
      </c>
      <c r="AJ31" s="17">
        <f>IF(AN31=0,K31,0)</f>
        <v>0</v>
      </c>
      <c r="AK31" s="17">
        <f>IF(AN31=15,K31,0)</f>
        <v>0</v>
      </c>
      <c r="AL31" s="17">
        <f>IF(AN31=21,K31,0)</f>
        <v>0</v>
      </c>
      <c r="AN31" s="35">
        <v>21</v>
      </c>
      <c r="AO31" s="35">
        <f>H31*0</f>
        <v>0</v>
      </c>
      <c r="AP31" s="35">
        <f>H31*(1-0)</f>
        <v>0</v>
      </c>
      <c r="AQ31" s="30" t="s">
        <v>13</v>
      </c>
      <c r="AV31" s="35">
        <f>AW31+AX31</f>
        <v>0</v>
      </c>
      <c r="AW31" s="35">
        <f>G31*AO31</f>
        <v>0</v>
      </c>
      <c r="AX31" s="35">
        <f>G31*AP31</f>
        <v>0</v>
      </c>
      <c r="AY31" s="36" t="s">
        <v>422</v>
      </c>
      <c r="AZ31" s="36" t="s">
        <v>438</v>
      </c>
      <c r="BA31" s="29" t="s">
        <v>449</v>
      </c>
      <c r="BC31" s="35">
        <f>AW31+AX31</f>
        <v>0</v>
      </c>
      <c r="BD31" s="35">
        <f>H31/(100-BE31)*100</f>
        <v>0</v>
      </c>
      <c r="BE31" s="35">
        <v>0</v>
      </c>
      <c r="BF31" s="35">
        <f>31</f>
        <v>31</v>
      </c>
      <c r="BH31" s="17">
        <f>G31*AO31</f>
        <v>0</v>
      </c>
      <c r="BI31" s="17">
        <f>G31*AP31</f>
        <v>0</v>
      </c>
      <c r="BJ31" s="17">
        <f>G31*H31</f>
        <v>0</v>
      </c>
    </row>
    <row r="32" spans="3:7" ht="12.75">
      <c r="C32" s="67" t="s">
        <v>166</v>
      </c>
      <c r="D32" s="68"/>
      <c r="E32" s="68"/>
      <c r="G32" s="18">
        <v>1.731</v>
      </c>
    </row>
    <row r="33" spans="1:62" ht="12.75">
      <c r="A33" s="5" t="s">
        <v>15</v>
      </c>
      <c r="B33" s="5" t="s">
        <v>83</v>
      </c>
      <c r="C33" s="69" t="s">
        <v>167</v>
      </c>
      <c r="D33" s="70"/>
      <c r="E33" s="70"/>
      <c r="F33" s="5" t="s">
        <v>384</v>
      </c>
      <c r="G33" s="17">
        <v>1.731</v>
      </c>
      <c r="H33" s="17">
        <v>0</v>
      </c>
      <c r="I33" s="17">
        <f>G33*AO33</f>
        <v>0</v>
      </c>
      <c r="J33" s="17">
        <f>G33*AP33</f>
        <v>0</v>
      </c>
      <c r="K33" s="17">
        <f>G33*H33</f>
        <v>0</v>
      </c>
      <c r="L33" s="30" t="s">
        <v>407</v>
      </c>
      <c r="Z33" s="35">
        <f>IF(AQ33="5",BJ33,0)</f>
        <v>0</v>
      </c>
      <c r="AB33" s="35">
        <f>IF(AQ33="1",BH33,0)</f>
        <v>0</v>
      </c>
      <c r="AC33" s="35">
        <f>IF(AQ33="1",BI33,0)</f>
        <v>0</v>
      </c>
      <c r="AD33" s="35">
        <f>IF(AQ33="7",BH33,0)</f>
        <v>0</v>
      </c>
      <c r="AE33" s="35">
        <f>IF(AQ33="7",BI33,0)</f>
        <v>0</v>
      </c>
      <c r="AF33" s="35">
        <f>IF(AQ33="2",BH33,0)</f>
        <v>0</v>
      </c>
      <c r="AG33" s="35">
        <f>IF(AQ33="2",BI33,0)</f>
        <v>0</v>
      </c>
      <c r="AH33" s="35">
        <f>IF(AQ33="0",BJ33,0)</f>
        <v>0</v>
      </c>
      <c r="AI33" s="29" t="s">
        <v>417</v>
      </c>
      <c r="AJ33" s="17">
        <f>IF(AN33=0,K33,0)</f>
        <v>0</v>
      </c>
      <c r="AK33" s="17">
        <f>IF(AN33=15,K33,0)</f>
        <v>0</v>
      </c>
      <c r="AL33" s="17">
        <f>IF(AN33=21,K33,0)</f>
        <v>0</v>
      </c>
      <c r="AN33" s="35">
        <v>21</v>
      </c>
      <c r="AO33" s="35">
        <f>H33*0</f>
        <v>0</v>
      </c>
      <c r="AP33" s="35">
        <f>H33*(1-0)</f>
        <v>0</v>
      </c>
      <c r="AQ33" s="30" t="s">
        <v>13</v>
      </c>
      <c r="AV33" s="35">
        <f>AW33+AX33</f>
        <v>0</v>
      </c>
      <c r="AW33" s="35">
        <f>G33*AO33</f>
        <v>0</v>
      </c>
      <c r="AX33" s="35">
        <f>G33*AP33</f>
        <v>0</v>
      </c>
      <c r="AY33" s="36" t="s">
        <v>422</v>
      </c>
      <c r="AZ33" s="36" t="s">
        <v>438</v>
      </c>
      <c r="BA33" s="29" t="s">
        <v>449</v>
      </c>
      <c r="BC33" s="35">
        <f>AW33+AX33</f>
        <v>0</v>
      </c>
      <c r="BD33" s="35">
        <f>H33/(100-BE33)*100</f>
        <v>0</v>
      </c>
      <c r="BE33" s="35">
        <v>0</v>
      </c>
      <c r="BF33" s="35">
        <f>33</f>
        <v>33</v>
      </c>
      <c r="BH33" s="17">
        <f>G33*AO33</f>
        <v>0</v>
      </c>
      <c r="BI33" s="17">
        <f>G33*AP33</f>
        <v>0</v>
      </c>
      <c r="BJ33" s="17">
        <f>G33*H33</f>
        <v>0</v>
      </c>
    </row>
    <row r="34" spans="3:7" ht="12.75">
      <c r="C34" s="67" t="s">
        <v>166</v>
      </c>
      <c r="D34" s="68"/>
      <c r="E34" s="68"/>
      <c r="G34" s="18">
        <v>1.731</v>
      </c>
    </row>
    <row r="35" spans="1:62" ht="12.75">
      <c r="A35" s="5" t="s">
        <v>16</v>
      </c>
      <c r="B35" s="5" t="s">
        <v>84</v>
      </c>
      <c r="C35" s="69" t="s">
        <v>168</v>
      </c>
      <c r="D35" s="70"/>
      <c r="E35" s="70"/>
      <c r="F35" s="5" t="s">
        <v>384</v>
      </c>
      <c r="G35" s="17">
        <v>1.731</v>
      </c>
      <c r="H35" s="17">
        <v>0</v>
      </c>
      <c r="I35" s="17">
        <f>G35*AO35</f>
        <v>0</v>
      </c>
      <c r="J35" s="17">
        <f>G35*AP35</f>
        <v>0</v>
      </c>
      <c r="K35" s="17">
        <f>G35*H35</f>
        <v>0</v>
      </c>
      <c r="L35" s="30" t="s">
        <v>407</v>
      </c>
      <c r="Z35" s="35">
        <f>IF(AQ35="5",BJ35,0)</f>
        <v>0</v>
      </c>
      <c r="AB35" s="35">
        <f>IF(AQ35="1",BH35,0)</f>
        <v>0</v>
      </c>
      <c r="AC35" s="35">
        <f>IF(AQ35="1",BI35,0)</f>
        <v>0</v>
      </c>
      <c r="AD35" s="35">
        <f>IF(AQ35="7",BH35,0)</f>
        <v>0</v>
      </c>
      <c r="AE35" s="35">
        <f>IF(AQ35="7",BI35,0)</f>
        <v>0</v>
      </c>
      <c r="AF35" s="35">
        <f>IF(AQ35="2",BH35,0)</f>
        <v>0</v>
      </c>
      <c r="AG35" s="35">
        <f>IF(AQ35="2",BI35,0)</f>
        <v>0</v>
      </c>
      <c r="AH35" s="35">
        <f>IF(AQ35="0",BJ35,0)</f>
        <v>0</v>
      </c>
      <c r="AI35" s="29" t="s">
        <v>417</v>
      </c>
      <c r="AJ35" s="17">
        <f>IF(AN35=0,K35,0)</f>
        <v>0</v>
      </c>
      <c r="AK35" s="17">
        <f>IF(AN35=15,K35,0)</f>
        <v>0</v>
      </c>
      <c r="AL35" s="17">
        <f>IF(AN35=21,K35,0)</f>
        <v>0</v>
      </c>
      <c r="AN35" s="35">
        <v>21</v>
      </c>
      <c r="AO35" s="35">
        <f>H35*0</f>
        <v>0</v>
      </c>
      <c r="AP35" s="35">
        <f>H35*(1-0)</f>
        <v>0</v>
      </c>
      <c r="AQ35" s="30" t="s">
        <v>13</v>
      </c>
      <c r="AV35" s="35">
        <f>AW35+AX35</f>
        <v>0</v>
      </c>
      <c r="AW35" s="35">
        <f>G35*AO35</f>
        <v>0</v>
      </c>
      <c r="AX35" s="35">
        <f>G35*AP35</f>
        <v>0</v>
      </c>
      <c r="AY35" s="36" t="s">
        <v>422</v>
      </c>
      <c r="AZ35" s="36" t="s">
        <v>438</v>
      </c>
      <c r="BA35" s="29" t="s">
        <v>449</v>
      </c>
      <c r="BC35" s="35">
        <f>AW35+AX35</f>
        <v>0</v>
      </c>
      <c r="BD35" s="35">
        <f>H35/(100-BE35)*100</f>
        <v>0</v>
      </c>
      <c r="BE35" s="35">
        <v>0</v>
      </c>
      <c r="BF35" s="35">
        <f>35</f>
        <v>35</v>
      </c>
      <c r="BH35" s="17">
        <f>G35*AO35</f>
        <v>0</v>
      </c>
      <c r="BI35" s="17">
        <f>G35*AP35</f>
        <v>0</v>
      </c>
      <c r="BJ35" s="17">
        <f>G35*H35</f>
        <v>0</v>
      </c>
    </row>
    <row r="36" spans="3:7" ht="12.75">
      <c r="C36" s="67" t="s">
        <v>166</v>
      </c>
      <c r="D36" s="68"/>
      <c r="E36" s="68"/>
      <c r="G36" s="18">
        <v>1.731</v>
      </c>
    </row>
    <row r="37" spans="1:62" ht="12.75">
      <c r="A37" s="6" t="s">
        <v>17</v>
      </c>
      <c r="B37" s="6" t="s">
        <v>85</v>
      </c>
      <c r="C37" s="79" t="s">
        <v>169</v>
      </c>
      <c r="D37" s="80"/>
      <c r="E37" s="80"/>
      <c r="F37" s="6" t="s">
        <v>384</v>
      </c>
      <c r="G37" s="19">
        <v>2.5965</v>
      </c>
      <c r="H37" s="19">
        <v>0</v>
      </c>
      <c r="I37" s="19">
        <f>G37*AO37</f>
        <v>0</v>
      </c>
      <c r="J37" s="19">
        <f>G37*AP37</f>
        <v>0</v>
      </c>
      <c r="K37" s="19">
        <f>G37*H37</f>
        <v>0</v>
      </c>
      <c r="L37" s="31" t="s">
        <v>407</v>
      </c>
      <c r="Z37" s="35">
        <f>IF(AQ37="5",BJ37,0)</f>
        <v>0</v>
      </c>
      <c r="AB37" s="35">
        <f>IF(AQ37="1",BH37,0)</f>
        <v>0</v>
      </c>
      <c r="AC37" s="35">
        <f>IF(AQ37="1",BI37,0)</f>
        <v>0</v>
      </c>
      <c r="AD37" s="35">
        <f>IF(AQ37="7",BH37,0)</f>
        <v>0</v>
      </c>
      <c r="AE37" s="35">
        <f>IF(AQ37="7",BI37,0)</f>
        <v>0</v>
      </c>
      <c r="AF37" s="35">
        <f>IF(AQ37="2",BH37,0)</f>
        <v>0</v>
      </c>
      <c r="AG37" s="35">
        <f>IF(AQ37="2",BI37,0)</f>
        <v>0</v>
      </c>
      <c r="AH37" s="35">
        <f>IF(AQ37="0",BJ37,0)</f>
        <v>0</v>
      </c>
      <c r="AI37" s="29" t="s">
        <v>417</v>
      </c>
      <c r="AJ37" s="19">
        <f>IF(AN37=0,K37,0)</f>
        <v>0</v>
      </c>
      <c r="AK37" s="19">
        <f>IF(AN37=15,K37,0)</f>
        <v>0</v>
      </c>
      <c r="AL37" s="19">
        <f>IF(AN37=21,K37,0)</f>
        <v>0</v>
      </c>
      <c r="AN37" s="35">
        <v>21</v>
      </c>
      <c r="AO37" s="35">
        <f>H37*1</f>
        <v>0</v>
      </c>
      <c r="AP37" s="35">
        <f>H37*(1-1)</f>
        <v>0</v>
      </c>
      <c r="AQ37" s="31" t="s">
        <v>13</v>
      </c>
      <c r="AV37" s="35">
        <f>AW37+AX37</f>
        <v>0</v>
      </c>
      <c r="AW37" s="35">
        <f>G37*AO37</f>
        <v>0</v>
      </c>
      <c r="AX37" s="35">
        <f>G37*AP37</f>
        <v>0</v>
      </c>
      <c r="AY37" s="36" t="s">
        <v>422</v>
      </c>
      <c r="AZ37" s="36" t="s">
        <v>438</v>
      </c>
      <c r="BA37" s="29" t="s">
        <v>449</v>
      </c>
      <c r="BC37" s="35">
        <f>AW37+AX37</f>
        <v>0</v>
      </c>
      <c r="BD37" s="35">
        <f>H37/(100-BE37)*100</f>
        <v>0</v>
      </c>
      <c r="BE37" s="35">
        <v>0</v>
      </c>
      <c r="BF37" s="35">
        <f>37</f>
        <v>37</v>
      </c>
      <c r="BH37" s="19">
        <f>G37*AO37</f>
        <v>0</v>
      </c>
      <c r="BI37" s="19">
        <f>G37*AP37</f>
        <v>0</v>
      </c>
      <c r="BJ37" s="19">
        <f>G37*H37</f>
        <v>0</v>
      </c>
    </row>
    <row r="38" spans="3:7" ht="12.75">
      <c r="C38" s="67" t="s">
        <v>166</v>
      </c>
      <c r="D38" s="68"/>
      <c r="E38" s="68"/>
      <c r="G38" s="18">
        <v>1.731</v>
      </c>
    </row>
    <row r="39" spans="3:7" ht="12.75">
      <c r="C39" s="67" t="s">
        <v>170</v>
      </c>
      <c r="D39" s="68"/>
      <c r="E39" s="68"/>
      <c r="G39" s="18">
        <v>0.8655</v>
      </c>
    </row>
    <row r="40" spans="1:62" ht="12.75">
      <c r="A40" s="5" t="s">
        <v>18</v>
      </c>
      <c r="B40" s="5" t="s">
        <v>86</v>
      </c>
      <c r="C40" s="69" t="s">
        <v>171</v>
      </c>
      <c r="D40" s="70"/>
      <c r="E40" s="70"/>
      <c r="F40" s="5" t="s">
        <v>383</v>
      </c>
      <c r="G40" s="17">
        <v>0.05</v>
      </c>
      <c r="H40" s="17">
        <v>0</v>
      </c>
      <c r="I40" s="17">
        <f>G40*AO40</f>
        <v>0</v>
      </c>
      <c r="J40" s="17">
        <f>G40*AP40</f>
        <v>0</v>
      </c>
      <c r="K40" s="17">
        <f>G40*H40</f>
        <v>0</v>
      </c>
      <c r="L40" s="30" t="s">
        <v>407</v>
      </c>
      <c r="Z40" s="35">
        <f>IF(AQ40="5",BJ40,0)</f>
        <v>0</v>
      </c>
      <c r="AB40" s="35">
        <f>IF(AQ40="1",BH40,0)</f>
        <v>0</v>
      </c>
      <c r="AC40" s="35">
        <f>IF(AQ40="1",BI40,0)</f>
        <v>0</v>
      </c>
      <c r="AD40" s="35">
        <f>IF(AQ40="7",BH40,0)</f>
        <v>0</v>
      </c>
      <c r="AE40" s="35">
        <f>IF(AQ40="7",BI40,0)</f>
        <v>0</v>
      </c>
      <c r="AF40" s="35">
        <f>IF(AQ40="2",BH40,0)</f>
        <v>0</v>
      </c>
      <c r="AG40" s="35">
        <f>IF(AQ40="2",BI40,0)</f>
        <v>0</v>
      </c>
      <c r="AH40" s="35">
        <f>IF(AQ40="0",BJ40,0)</f>
        <v>0</v>
      </c>
      <c r="AI40" s="29" t="s">
        <v>417</v>
      </c>
      <c r="AJ40" s="17">
        <f>IF(AN40=0,K40,0)</f>
        <v>0</v>
      </c>
      <c r="AK40" s="17">
        <f>IF(AN40=15,K40,0)</f>
        <v>0</v>
      </c>
      <c r="AL40" s="17">
        <f>IF(AN40=21,K40,0)</f>
        <v>0</v>
      </c>
      <c r="AN40" s="35">
        <v>21</v>
      </c>
      <c r="AO40" s="35">
        <f>H40*0</f>
        <v>0</v>
      </c>
      <c r="AP40" s="35">
        <f>H40*(1-0)</f>
        <v>0</v>
      </c>
      <c r="AQ40" s="30" t="s">
        <v>11</v>
      </c>
      <c r="AV40" s="35">
        <f>AW40+AX40</f>
        <v>0</v>
      </c>
      <c r="AW40" s="35">
        <f>G40*AO40</f>
        <v>0</v>
      </c>
      <c r="AX40" s="35">
        <f>G40*AP40</f>
        <v>0</v>
      </c>
      <c r="AY40" s="36" t="s">
        <v>422</v>
      </c>
      <c r="AZ40" s="36" t="s">
        <v>438</v>
      </c>
      <c r="BA40" s="29" t="s">
        <v>449</v>
      </c>
      <c r="BC40" s="35">
        <f>AW40+AX40</f>
        <v>0</v>
      </c>
      <c r="BD40" s="35">
        <f>H40/(100-BE40)*100</f>
        <v>0</v>
      </c>
      <c r="BE40" s="35">
        <v>0</v>
      </c>
      <c r="BF40" s="35">
        <f>40</f>
        <v>40</v>
      </c>
      <c r="BH40" s="17">
        <f>G40*AO40</f>
        <v>0</v>
      </c>
      <c r="BI40" s="17">
        <f>G40*AP40</f>
        <v>0</v>
      </c>
      <c r="BJ40" s="17">
        <f>G40*H40</f>
        <v>0</v>
      </c>
    </row>
    <row r="41" spans="3:7" ht="12.75">
      <c r="C41" s="67" t="s">
        <v>172</v>
      </c>
      <c r="D41" s="68"/>
      <c r="E41" s="68"/>
      <c r="G41" s="18">
        <v>0.05</v>
      </c>
    </row>
    <row r="42" spans="1:47" ht="12.75">
      <c r="A42" s="4"/>
      <c r="B42" s="14" t="s">
        <v>87</v>
      </c>
      <c r="C42" s="75" t="s">
        <v>173</v>
      </c>
      <c r="D42" s="76"/>
      <c r="E42" s="76"/>
      <c r="F42" s="4" t="s">
        <v>6</v>
      </c>
      <c r="G42" s="4" t="s">
        <v>6</v>
      </c>
      <c r="H42" s="4" t="s">
        <v>6</v>
      </c>
      <c r="I42" s="38">
        <f>SUM(I43:I49)</f>
        <v>0</v>
      </c>
      <c r="J42" s="38">
        <f>SUM(J43:J49)</f>
        <v>0</v>
      </c>
      <c r="K42" s="38">
        <f>SUM(K43:K49)</f>
        <v>0</v>
      </c>
      <c r="L42" s="29"/>
      <c r="AI42" s="29" t="s">
        <v>417</v>
      </c>
      <c r="AS42" s="38">
        <f>SUM(AJ43:AJ49)</f>
        <v>0</v>
      </c>
      <c r="AT42" s="38">
        <f>SUM(AK43:AK49)</f>
        <v>0</v>
      </c>
      <c r="AU42" s="38">
        <f>SUM(AL43:AL49)</f>
        <v>0</v>
      </c>
    </row>
    <row r="43" spans="1:62" ht="12.75">
      <c r="A43" s="5" t="s">
        <v>19</v>
      </c>
      <c r="B43" s="5" t="s">
        <v>88</v>
      </c>
      <c r="C43" s="69" t="s">
        <v>174</v>
      </c>
      <c r="D43" s="70"/>
      <c r="E43" s="70"/>
      <c r="F43" s="5" t="s">
        <v>384</v>
      </c>
      <c r="G43" s="17">
        <v>73.7317</v>
      </c>
      <c r="H43" s="17">
        <v>0</v>
      </c>
      <c r="I43" s="17">
        <f>G43*AO43</f>
        <v>0</v>
      </c>
      <c r="J43" s="17">
        <f>G43*AP43</f>
        <v>0</v>
      </c>
      <c r="K43" s="17">
        <f>G43*H43</f>
        <v>0</v>
      </c>
      <c r="L43" s="30" t="s">
        <v>407</v>
      </c>
      <c r="Z43" s="35">
        <f>IF(AQ43="5",BJ43,0)</f>
        <v>0</v>
      </c>
      <c r="AB43" s="35">
        <f>IF(AQ43="1",BH43,0)</f>
        <v>0</v>
      </c>
      <c r="AC43" s="35">
        <f>IF(AQ43="1",BI43,0)</f>
        <v>0</v>
      </c>
      <c r="AD43" s="35">
        <f>IF(AQ43="7",BH43,0)</f>
        <v>0</v>
      </c>
      <c r="AE43" s="35">
        <f>IF(AQ43="7",BI43,0)</f>
        <v>0</v>
      </c>
      <c r="AF43" s="35">
        <f>IF(AQ43="2",BH43,0)</f>
        <v>0</v>
      </c>
      <c r="AG43" s="35">
        <f>IF(AQ43="2",BI43,0)</f>
        <v>0</v>
      </c>
      <c r="AH43" s="35">
        <f>IF(AQ43="0",BJ43,0)</f>
        <v>0</v>
      </c>
      <c r="AI43" s="29" t="s">
        <v>417</v>
      </c>
      <c r="AJ43" s="17">
        <f>IF(AN43=0,K43,0)</f>
        <v>0</v>
      </c>
      <c r="AK43" s="17">
        <f>IF(AN43=15,K43,0)</f>
        <v>0</v>
      </c>
      <c r="AL43" s="17">
        <f>IF(AN43=21,K43,0)</f>
        <v>0</v>
      </c>
      <c r="AN43" s="35">
        <v>21</v>
      </c>
      <c r="AO43" s="35">
        <f>H43*0.00329550061829252</f>
        <v>0</v>
      </c>
      <c r="AP43" s="35">
        <f>H43*(1-0.00329550061829252)</f>
        <v>0</v>
      </c>
      <c r="AQ43" s="30" t="s">
        <v>13</v>
      </c>
      <c r="AV43" s="35">
        <f>AW43+AX43</f>
        <v>0</v>
      </c>
      <c r="AW43" s="35">
        <f>G43*AO43</f>
        <v>0</v>
      </c>
      <c r="AX43" s="35">
        <f>G43*AP43</f>
        <v>0</v>
      </c>
      <c r="AY43" s="36" t="s">
        <v>423</v>
      </c>
      <c r="AZ43" s="36" t="s">
        <v>439</v>
      </c>
      <c r="BA43" s="29" t="s">
        <v>449</v>
      </c>
      <c r="BC43" s="35">
        <f>AW43+AX43</f>
        <v>0</v>
      </c>
      <c r="BD43" s="35">
        <f>H43/(100-BE43)*100</f>
        <v>0</v>
      </c>
      <c r="BE43" s="35">
        <v>0</v>
      </c>
      <c r="BF43" s="35">
        <f>43</f>
        <v>43</v>
      </c>
      <c r="BH43" s="17">
        <f>G43*AO43</f>
        <v>0</v>
      </c>
      <c r="BI43" s="17">
        <f>G43*AP43</f>
        <v>0</v>
      </c>
      <c r="BJ43" s="17">
        <f>G43*H43</f>
        <v>0</v>
      </c>
    </row>
    <row r="44" spans="3:7" ht="12.75">
      <c r="C44" s="67" t="s">
        <v>175</v>
      </c>
      <c r="D44" s="68"/>
      <c r="E44" s="68"/>
      <c r="G44" s="18">
        <v>18.7222</v>
      </c>
    </row>
    <row r="45" spans="3:7" ht="12.75">
      <c r="C45" s="67" t="s">
        <v>176</v>
      </c>
      <c r="D45" s="68"/>
      <c r="E45" s="68"/>
      <c r="G45" s="18">
        <v>66.456</v>
      </c>
    </row>
    <row r="46" spans="3:7" ht="12.75">
      <c r="C46" s="67" t="s">
        <v>177</v>
      </c>
      <c r="D46" s="68"/>
      <c r="E46" s="68"/>
      <c r="G46" s="18">
        <v>-11.4465</v>
      </c>
    </row>
    <row r="47" spans="1:62" ht="12.75">
      <c r="A47" s="5" t="s">
        <v>20</v>
      </c>
      <c r="B47" s="5" t="s">
        <v>89</v>
      </c>
      <c r="C47" s="69" t="s">
        <v>178</v>
      </c>
      <c r="D47" s="70"/>
      <c r="E47" s="70"/>
      <c r="F47" s="5" t="s">
        <v>384</v>
      </c>
      <c r="G47" s="17">
        <v>73.731</v>
      </c>
      <c r="H47" s="17">
        <v>0</v>
      </c>
      <c r="I47" s="17">
        <f>G47*AO47</f>
        <v>0</v>
      </c>
      <c r="J47" s="17">
        <f>G47*AP47</f>
        <v>0</v>
      </c>
      <c r="K47" s="17">
        <f>G47*H47</f>
        <v>0</v>
      </c>
      <c r="L47" s="30" t="s">
        <v>407</v>
      </c>
      <c r="Z47" s="35">
        <f>IF(AQ47="5",BJ47,0)</f>
        <v>0</v>
      </c>
      <c r="AB47" s="35">
        <f>IF(AQ47="1",BH47,0)</f>
        <v>0</v>
      </c>
      <c r="AC47" s="35">
        <f>IF(AQ47="1",BI47,0)</f>
        <v>0</v>
      </c>
      <c r="AD47" s="35">
        <f>IF(AQ47="7",BH47,0)</f>
        <v>0</v>
      </c>
      <c r="AE47" s="35">
        <f>IF(AQ47="7",BI47,0)</f>
        <v>0</v>
      </c>
      <c r="AF47" s="35">
        <f>IF(AQ47="2",BH47,0)</f>
        <v>0</v>
      </c>
      <c r="AG47" s="35">
        <f>IF(AQ47="2",BI47,0)</f>
        <v>0</v>
      </c>
      <c r="AH47" s="35">
        <f>IF(AQ47="0",BJ47,0)</f>
        <v>0</v>
      </c>
      <c r="AI47" s="29" t="s">
        <v>417</v>
      </c>
      <c r="AJ47" s="17">
        <f>IF(AN47=0,K47,0)</f>
        <v>0</v>
      </c>
      <c r="AK47" s="17">
        <f>IF(AN47=15,K47,0)</f>
        <v>0</v>
      </c>
      <c r="AL47" s="17">
        <f>IF(AN47=21,K47,0)</f>
        <v>0</v>
      </c>
      <c r="AN47" s="35">
        <v>21</v>
      </c>
      <c r="AO47" s="35">
        <f>H47*0.300552733921306</f>
        <v>0</v>
      </c>
      <c r="AP47" s="35">
        <f>H47*(1-0.300552733921306)</f>
        <v>0</v>
      </c>
      <c r="AQ47" s="30" t="s">
        <v>13</v>
      </c>
      <c r="AV47" s="35">
        <f>AW47+AX47</f>
        <v>0</v>
      </c>
      <c r="AW47" s="35">
        <f>G47*AO47</f>
        <v>0</v>
      </c>
      <c r="AX47" s="35">
        <f>G47*AP47</f>
        <v>0</v>
      </c>
      <c r="AY47" s="36" t="s">
        <v>423</v>
      </c>
      <c r="AZ47" s="36" t="s">
        <v>439</v>
      </c>
      <c r="BA47" s="29" t="s">
        <v>449</v>
      </c>
      <c r="BC47" s="35">
        <f>AW47+AX47</f>
        <v>0</v>
      </c>
      <c r="BD47" s="35">
        <f>H47/(100-BE47)*100</f>
        <v>0</v>
      </c>
      <c r="BE47" s="35">
        <v>0</v>
      </c>
      <c r="BF47" s="35">
        <f>47</f>
        <v>47</v>
      </c>
      <c r="BH47" s="17">
        <f>G47*AO47</f>
        <v>0</v>
      </c>
      <c r="BI47" s="17">
        <f>G47*AP47</f>
        <v>0</v>
      </c>
      <c r="BJ47" s="17">
        <f>G47*H47</f>
        <v>0</v>
      </c>
    </row>
    <row r="48" spans="3:7" ht="12.75">
      <c r="C48" s="67" t="s">
        <v>179</v>
      </c>
      <c r="D48" s="68"/>
      <c r="E48" s="68"/>
      <c r="G48" s="18">
        <v>73.731</v>
      </c>
    </row>
    <row r="49" spans="1:62" ht="12.75">
      <c r="A49" s="5" t="s">
        <v>21</v>
      </c>
      <c r="B49" s="5" t="s">
        <v>90</v>
      </c>
      <c r="C49" s="69" t="s">
        <v>180</v>
      </c>
      <c r="D49" s="70"/>
      <c r="E49" s="70"/>
      <c r="F49" s="5" t="s">
        <v>384</v>
      </c>
      <c r="G49" s="17">
        <v>73.731</v>
      </c>
      <c r="H49" s="17">
        <v>0</v>
      </c>
      <c r="I49" s="17">
        <f>G49*AO49</f>
        <v>0</v>
      </c>
      <c r="J49" s="17">
        <f>G49*AP49</f>
        <v>0</v>
      </c>
      <c r="K49" s="17">
        <f>G49*H49</f>
        <v>0</v>
      </c>
      <c r="L49" s="30" t="s">
        <v>407</v>
      </c>
      <c r="Z49" s="35">
        <f>IF(AQ49="5",BJ49,0)</f>
        <v>0</v>
      </c>
      <c r="AB49" s="35">
        <f>IF(AQ49="1",BH49,0)</f>
        <v>0</v>
      </c>
      <c r="AC49" s="35">
        <f>IF(AQ49="1",BI49,0)</f>
        <v>0</v>
      </c>
      <c r="AD49" s="35">
        <f>IF(AQ49="7",BH49,0)</f>
        <v>0</v>
      </c>
      <c r="AE49" s="35">
        <f>IF(AQ49="7",BI49,0)</f>
        <v>0</v>
      </c>
      <c r="AF49" s="35">
        <f>IF(AQ49="2",BH49,0)</f>
        <v>0</v>
      </c>
      <c r="AG49" s="35">
        <f>IF(AQ49="2",BI49,0)</f>
        <v>0</v>
      </c>
      <c r="AH49" s="35">
        <f>IF(AQ49="0",BJ49,0)</f>
        <v>0</v>
      </c>
      <c r="AI49" s="29" t="s">
        <v>417</v>
      </c>
      <c r="AJ49" s="17">
        <f>IF(AN49=0,K49,0)</f>
        <v>0</v>
      </c>
      <c r="AK49" s="17">
        <f>IF(AN49=15,K49,0)</f>
        <v>0</v>
      </c>
      <c r="AL49" s="17">
        <f>IF(AN49=21,K49,0)</f>
        <v>0</v>
      </c>
      <c r="AN49" s="35">
        <v>21</v>
      </c>
      <c r="AO49" s="35">
        <f>H49*0.133701771607869</f>
        <v>0</v>
      </c>
      <c r="AP49" s="35">
        <f>H49*(1-0.133701771607869)</f>
        <v>0</v>
      </c>
      <c r="AQ49" s="30" t="s">
        <v>13</v>
      </c>
      <c r="AV49" s="35">
        <f>AW49+AX49</f>
        <v>0</v>
      </c>
      <c r="AW49" s="35">
        <f>G49*AO49</f>
        <v>0</v>
      </c>
      <c r="AX49" s="35">
        <f>G49*AP49</f>
        <v>0</v>
      </c>
      <c r="AY49" s="36" t="s">
        <v>423</v>
      </c>
      <c r="AZ49" s="36" t="s">
        <v>439</v>
      </c>
      <c r="BA49" s="29" t="s">
        <v>449</v>
      </c>
      <c r="BC49" s="35">
        <f>AW49+AX49</f>
        <v>0</v>
      </c>
      <c r="BD49" s="35">
        <f>H49/(100-BE49)*100</f>
        <v>0</v>
      </c>
      <c r="BE49" s="35">
        <v>0</v>
      </c>
      <c r="BF49" s="35">
        <f>49</f>
        <v>49</v>
      </c>
      <c r="BH49" s="17">
        <f>G49*AO49</f>
        <v>0</v>
      </c>
      <c r="BI49" s="17">
        <f>G49*AP49</f>
        <v>0</v>
      </c>
      <c r="BJ49" s="17">
        <f>G49*H49</f>
        <v>0</v>
      </c>
    </row>
    <row r="50" spans="3:7" ht="12.75">
      <c r="C50" s="67" t="s">
        <v>179</v>
      </c>
      <c r="D50" s="68"/>
      <c r="E50" s="68"/>
      <c r="G50" s="18">
        <v>73.731</v>
      </c>
    </row>
    <row r="51" spans="1:47" ht="12.75">
      <c r="A51" s="4"/>
      <c r="B51" s="14" t="s">
        <v>91</v>
      </c>
      <c r="C51" s="75" t="s">
        <v>181</v>
      </c>
      <c r="D51" s="76"/>
      <c r="E51" s="76"/>
      <c r="F51" s="4" t="s">
        <v>6</v>
      </c>
      <c r="G51" s="4" t="s">
        <v>6</v>
      </c>
      <c r="H51" s="4" t="s">
        <v>6</v>
      </c>
      <c r="I51" s="38">
        <f>SUM(I52:I52)</f>
        <v>0</v>
      </c>
      <c r="J51" s="38">
        <f>SUM(J52:J52)</f>
        <v>0</v>
      </c>
      <c r="K51" s="38">
        <f>SUM(K52:K52)</f>
        <v>0</v>
      </c>
      <c r="L51" s="29"/>
      <c r="AI51" s="29" t="s">
        <v>417</v>
      </c>
      <c r="AS51" s="38">
        <f>SUM(AJ52:AJ52)</f>
        <v>0</v>
      </c>
      <c r="AT51" s="38">
        <f>SUM(AK52:AK52)</f>
        <v>0</v>
      </c>
      <c r="AU51" s="38">
        <f>SUM(AL52:AL52)</f>
        <v>0</v>
      </c>
    </row>
    <row r="52" spans="1:62" ht="12.75">
      <c r="A52" s="5" t="s">
        <v>22</v>
      </c>
      <c r="B52" s="5" t="s">
        <v>92</v>
      </c>
      <c r="C52" s="69" t="s">
        <v>182</v>
      </c>
      <c r="D52" s="70"/>
      <c r="E52" s="70"/>
      <c r="F52" s="5" t="s">
        <v>384</v>
      </c>
      <c r="G52" s="17">
        <v>14</v>
      </c>
      <c r="H52" s="17">
        <v>0</v>
      </c>
      <c r="I52" s="17">
        <f>G52*AO52</f>
        <v>0</v>
      </c>
      <c r="J52" s="17">
        <f>G52*AP52</f>
        <v>0</v>
      </c>
      <c r="K52" s="17">
        <f>G52*H52</f>
        <v>0</v>
      </c>
      <c r="L52" s="30" t="s">
        <v>407</v>
      </c>
      <c r="Z52" s="35">
        <f>IF(AQ52="5",BJ52,0)</f>
        <v>0</v>
      </c>
      <c r="AB52" s="35">
        <f>IF(AQ52="1",BH52,0)</f>
        <v>0</v>
      </c>
      <c r="AC52" s="35">
        <f>IF(AQ52="1",BI52,0)</f>
        <v>0</v>
      </c>
      <c r="AD52" s="35">
        <f>IF(AQ52="7",BH52,0)</f>
        <v>0</v>
      </c>
      <c r="AE52" s="35">
        <f>IF(AQ52="7",BI52,0)</f>
        <v>0</v>
      </c>
      <c r="AF52" s="35">
        <f>IF(AQ52="2",BH52,0)</f>
        <v>0</v>
      </c>
      <c r="AG52" s="35">
        <f>IF(AQ52="2",BI52,0)</f>
        <v>0</v>
      </c>
      <c r="AH52" s="35">
        <f>IF(AQ52="0",BJ52,0)</f>
        <v>0</v>
      </c>
      <c r="AI52" s="29" t="s">
        <v>417</v>
      </c>
      <c r="AJ52" s="17">
        <f>IF(AN52=0,K52,0)</f>
        <v>0</v>
      </c>
      <c r="AK52" s="17">
        <f>IF(AN52=15,K52,0)</f>
        <v>0</v>
      </c>
      <c r="AL52" s="17">
        <f>IF(AN52=21,K52,0)</f>
        <v>0</v>
      </c>
      <c r="AN52" s="35">
        <v>21</v>
      </c>
      <c r="AO52" s="35">
        <f>H52*0.377163745833781</f>
        <v>0</v>
      </c>
      <c r="AP52" s="35">
        <f>H52*(1-0.377163745833781)</f>
        <v>0</v>
      </c>
      <c r="AQ52" s="30" t="s">
        <v>7</v>
      </c>
      <c r="AV52" s="35">
        <f>AW52+AX52</f>
        <v>0</v>
      </c>
      <c r="AW52" s="35">
        <f>G52*AO52</f>
        <v>0</v>
      </c>
      <c r="AX52" s="35">
        <f>G52*AP52</f>
        <v>0</v>
      </c>
      <c r="AY52" s="36" t="s">
        <v>424</v>
      </c>
      <c r="AZ52" s="36" t="s">
        <v>440</v>
      </c>
      <c r="BA52" s="29" t="s">
        <v>449</v>
      </c>
      <c r="BC52" s="35">
        <f>AW52+AX52</f>
        <v>0</v>
      </c>
      <c r="BD52" s="35">
        <f>H52/(100-BE52)*100</f>
        <v>0</v>
      </c>
      <c r="BE52" s="35">
        <v>0</v>
      </c>
      <c r="BF52" s="35">
        <f>52</f>
        <v>52</v>
      </c>
      <c r="BH52" s="17">
        <f>G52*AO52</f>
        <v>0</v>
      </c>
      <c r="BI52" s="17">
        <f>G52*AP52</f>
        <v>0</v>
      </c>
      <c r="BJ52" s="17">
        <f>G52*H52</f>
        <v>0</v>
      </c>
    </row>
    <row r="53" spans="3:7" ht="12.75">
      <c r="C53" s="67" t="s">
        <v>183</v>
      </c>
      <c r="D53" s="68"/>
      <c r="E53" s="68"/>
      <c r="G53" s="18">
        <v>14</v>
      </c>
    </row>
    <row r="54" spans="1:47" ht="12.75">
      <c r="A54" s="4"/>
      <c r="B54" s="14" t="s">
        <v>93</v>
      </c>
      <c r="C54" s="75" t="s">
        <v>184</v>
      </c>
      <c r="D54" s="76"/>
      <c r="E54" s="76"/>
      <c r="F54" s="4" t="s">
        <v>6</v>
      </c>
      <c r="G54" s="4" t="s">
        <v>6</v>
      </c>
      <c r="H54" s="4" t="s">
        <v>6</v>
      </c>
      <c r="I54" s="38">
        <f>SUM(I55:I55)</f>
        <v>0</v>
      </c>
      <c r="J54" s="38">
        <f>SUM(J55:J55)</f>
        <v>0</v>
      </c>
      <c r="K54" s="38">
        <f>SUM(K55:K55)</f>
        <v>0</v>
      </c>
      <c r="L54" s="29"/>
      <c r="AI54" s="29" t="s">
        <v>417</v>
      </c>
      <c r="AS54" s="38">
        <f>SUM(AJ55:AJ55)</f>
        <v>0</v>
      </c>
      <c r="AT54" s="38">
        <f>SUM(AK55:AK55)</f>
        <v>0</v>
      </c>
      <c r="AU54" s="38">
        <f>SUM(AL55:AL55)</f>
        <v>0</v>
      </c>
    </row>
    <row r="55" spans="1:62" ht="12.75">
      <c r="A55" s="5" t="s">
        <v>23</v>
      </c>
      <c r="B55" s="5" t="s">
        <v>94</v>
      </c>
      <c r="C55" s="69" t="s">
        <v>185</v>
      </c>
      <c r="D55" s="70"/>
      <c r="E55" s="70"/>
      <c r="F55" s="5" t="s">
        <v>384</v>
      </c>
      <c r="G55" s="17">
        <v>19.02</v>
      </c>
      <c r="H55" s="17">
        <v>0</v>
      </c>
      <c r="I55" s="17">
        <f>G55*AO55</f>
        <v>0</v>
      </c>
      <c r="J55" s="17">
        <f>G55*AP55</f>
        <v>0</v>
      </c>
      <c r="K55" s="17">
        <f>G55*H55</f>
        <v>0</v>
      </c>
      <c r="L55" s="30" t="s">
        <v>407</v>
      </c>
      <c r="Z55" s="35">
        <f>IF(AQ55="5",BJ55,0)</f>
        <v>0</v>
      </c>
      <c r="AB55" s="35">
        <f>IF(AQ55="1",BH55,0)</f>
        <v>0</v>
      </c>
      <c r="AC55" s="35">
        <f>IF(AQ55="1",BI55,0)</f>
        <v>0</v>
      </c>
      <c r="AD55" s="35">
        <f>IF(AQ55="7",BH55,0)</f>
        <v>0</v>
      </c>
      <c r="AE55" s="35">
        <f>IF(AQ55="7",BI55,0)</f>
        <v>0</v>
      </c>
      <c r="AF55" s="35">
        <f>IF(AQ55="2",BH55,0)</f>
        <v>0</v>
      </c>
      <c r="AG55" s="35">
        <f>IF(AQ55="2",BI55,0)</f>
        <v>0</v>
      </c>
      <c r="AH55" s="35">
        <f>IF(AQ55="0",BJ55,0)</f>
        <v>0</v>
      </c>
      <c r="AI55" s="29" t="s">
        <v>417</v>
      </c>
      <c r="AJ55" s="17">
        <f>IF(AN55=0,K55,0)</f>
        <v>0</v>
      </c>
      <c r="AK55" s="17">
        <f>IF(AN55=15,K55,0)</f>
        <v>0</v>
      </c>
      <c r="AL55" s="17">
        <f>IF(AN55=21,K55,0)</f>
        <v>0</v>
      </c>
      <c r="AN55" s="35">
        <v>21</v>
      </c>
      <c r="AO55" s="35">
        <f>H55*0.0149469143095608</f>
        <v>0</v>
      </c>
      <c r="AP55" s="35">
        <f>H55*(1-0.0149469143095608)</f>
        <v>0</v>
      </c>
      <c r="AQ55" s="30" t="s">
        <v>7</v>
      </c>
      <c r="AV55" s="35">
        <f>AW55+AX55</f>
        <v>0</v>
      </c>
      <c r="AW55" s="35">
        <f>G55*AO55</f>
        <v>0</v>
      </c>
      <c r="AX55" s="35">
        <f>G55*AP55</f>
        <v>0</v>
      </c>
      <c r="AY55" s="36" t="s">
        <v>425</v>
      </c>
      <c r="AZ55" s="36" t="s">
        <v>440</v>
      </c>
      <c r="BA55" s="29" t="s">
        <v>449</v>
      </c>
      <c r="BC55" s="35">
        <f>AW55+AX55</f>
        <v>0</v>
      </c>
      <c r="BD55" s="35">
        <f>H55/(100-BE55)*100</f>
        <v>0</v>
      </c>
      <c r="BE55" s="35">
        <v>0</v>
      </c>
      <c r="BF55" s="35">
        <f>55</f>
        <v>55</v>
      </c>
      <c r="BH55" s="17">
        <f>G55*AO55</f>
        <v>0</v>
      </c>
      <c r="BI55" s="17">
        <f>G55*AP55</f>
        <v>0</v>
      </c>
      <c r="BJ55" s="17">
        <f>G55*H55</f>
        <v>0</v>
      </c>
    </row>
    <row r="56" spans="3:7" ht="12.75">
      <c r="C56" s="67" t="s">
        <v>186</v>
      </c>
      <c r="D56" s="68"/>
      <c r="E56" s="68"/>
      <c r="G56" s="18">
        <v>19.02</v>
      </c>
    </row>
    <row r="57" spans="1:47" ht="12.75">
      <c r="A57" s="4"/>
      <c r="B57" s="14" t="s">
        <v>95</v>
      </c>
      <c r="C57" s="75" t="s">
        <v>187</v>
      </c>
      <c r="D57" s="76"/>
      <c r="E57" s="76"/>
      <c r="F57" s="4" t="s">
        <v>6</v>
      </c>
      <c r="G57" s="4" t="s">
        <v>6</v>
      </c>
      <c r="H57" s="4" t="s">
        <v>6</v>
      </c>
      <c r="I57" s="38">
        <f>SUM(I58:I64)</f>
        <v>0</v>
      </c>
      <c r="J57" s="38">
        <f>SUM(J58:J64)</f>
        <v>0</v>
      </c>
      <c r="K57" s="38">
        <f>SUM(K58:K64)</f>
        <v>0</v>
      </c>
      <c r="L57" s="29"/>
      <c r="AI57" s="29" t="s">
        <v>417</v>
      </c>
      <c r="AS57" s="38">
        <f>SUM(AJ58:AJ64)</f>
        <v>0</v>
      </c>
      <c r="AT57" s="38">
        <f>SUM(AK58:AK64)</f>
        <v>0</v>
      </c>
      <c r="AU57" s="38">
        <f>SUM(AL58:AL64)</f>
        <v>0</v>
      </c>
    </row>
    <row r="58" spans="1:62" ht="12.75">
      <c r="A58" s="5" t="s">
        <v>24</v>
      </c>
      <c r="B58" s="5" t="s">
        <v>96</v>
      </c>
      <c r="C58" s="69" t="s">
        <v>188</v>
      </c>
      <c r="D58" s="70"/>
      <c r="E58" s="70"/>
      <c r="F58" s="5" t="s">
        <v>384</v>
      </c>
      <c r="G58" s="17">
        <v>6.4945</v>
      </c>
      <c r="H58" s="17">
        <v>0</v>
      </c>
      <c r="I58" s="17">
        <f>G58*AO58</f>
        <v>0</v>
      </c>
      <c r="J58" s="17">
        <f>G58*AP58</f>
        <v>0</v>
      </c>
      <c r="K58" s="17">
        <f>G58*H58</f>
        <v>0</v>
      </c>
      <c r="L58" s="30" t="s">
        <v>407</v>
      </c>
      <c r="Z58" s="35">
        <f>IF(AQ58="5",BJ58,0)</f>
        <v>0</v>
      </c>
      <c r="AB58" s="35">
        <f>IF(AQ58="1",BH58,0)</f>
        <v>0</v>
      </c>
      <c r="AC58" s="35">
        <f>IF(AQ58="1",BI58,0)</f>
        <v>0</v>
      </c>
      <c r="AD58" s="35">
        <f>IF(AQ58="7",BH58,0)</f>
        <v>0</v>
      </c>
      <c r="AE58" s="35">
        <f>IF(AQ58="7",BI58,0)</f>
        <v>0</v>
      </c>
      <c r="AF58" s="35">
        <f>IF(AQ58="2",BH58,0)</f>
        <v>0</v>
      </c>
      <c r="AG58" s="35">
        <f>IF(AQ58="2",BI58,0)</f>
        <v>0</v>
      </c>
      <c r="AH58" s="35">
        <f>IF(AQ58="0",BJ58,0)</f>
        <v>0</v>
      </c>
      <c r="AI58" s="29" t="s">
        <v>417</v>
      </c>
      <c r="AJ58" s="17">
        <f>IF(AN58=0,K58,0)</f>
        <v>0</v>
      </c>
      <c r="AK58" s="17">
        <f>IF(AN58=15,K58,0)</f>
        <v>0</v>
      </c>
      <c r="AL58" s="17">
        <f>IF(AN58=21,K58,0)</f>
        <v>0</v>
      </c>
      <c r="AN58" s="35">
        <v>21</v>
      </c>
      <c r="AO58" s="35">
        <f>H58*0.130102009995288</f>
        <v>0</v>
      </c>
      <c r="AP58" s="35">
        <f>H58*(1-0.130102009995288)</f>
        <v>0</v>
      </c>
      <c r="AQ58" s="30" t="s">
        <v>7</v>
      </c>
      <c r="AV58" s="35">
        <f>AW58+AX58</f>
        <v>0</v>
      </c>
      <c r="AW58" s="35">
        <f>G58*AO58</f>
        <v>0</v>
      </c>
      <c r="AX58" s="35">
        <f>G58*AP58</f>
        <v>0</v>
      </c>
      <c r="AY58" s="36" t="s">
        <v>426</v>
      </c>
      <c r="AZ58" s="36" t="s">
        <v>440</v>
      </c>
      <c r="BA58" s="29" t="s">
        <v>449</v>
      </c>
      <c r="BC58" s="35">
        <f>AW58+AX58</f>
        <v>0</v>
      </c>
      <c r="BD58" s="35">
        <f>H58/(100-BE58)*100</f>
        <v>0</v>
      </c>
      <c r="BE58" s="35">
        <v>0</v>
      </c>
      <c r="BF58" s="35">
        <f>58</f>
        <v>58</v>
      </c>
      <c r="BH58" s="17">
        <f>G58*AO58</f>
        <v>0</v>
      </c>
      <c r="BI58" s="17">
        <f>G58*AP58</f>
        <v>0</v>
      </c>
      <c r="BJ58" s="17">
        <f>G58*H58</f>
        <v>0</v>
      </c>
    </row>
    <row r="59" spans="3:7" ht="12.75">
      <c r="C59" s="67" t="s">
        <v>189</v>
      </c>
      <c r="D59" s="68"/>
      <c r="E59" s="68"/>
      <c r="G59" s="18">
        <v>6.4945</v>
      </c>
    </row>
    <row r="60" spans="1:62" ht="12.75">
      <c r="A60" s="5" t="s">
        <v>25</v>
      </c>
      <c r="B60" s="5" t="s">
        <v>97</v>
      </c>
      <c r="C60" s="69" t="s">
        <v>190</v>
      </c>
      <c r="D60" s="70"/>
      <c r="E60" s="70"/>
      <c r="F60" s="5" t="s">
        <v>385</v>
      </c>
      <c r="G60" s="17">
        <v>0.99</v>
      </c>
      <c r="H60" s="17">
        <v>0</v>
      </c>
      <c r="I60" s="17">
        <f>G60*AO60</f>
        <v>0</v>
      </c>
      <c r="J60" s="17">
        <f>G60*AP60</f>
        <v>0</v>
      </c>
      <c r="K60" s="17">
        <f>G60*H60</f>
        <v>0</v>
      </c>
      <c r="L60" s="30" t="s">
        <v>407</v>
      </c>
      <c r="Z60" s="35">
        <f>IF(AQ60="5",BJ60,0)</f>
        <v>0</v>
      </c>
      <c r="AB60" s="35">
        <f>IF(AQ60="1",BH60,0)</f>
        <v>0</v>
      </c>
      <c r="AC60" s="35">
        <f>IF(AQ60="1",BI60,0)</f>
        <v>0</v>
      </c>
      <c r="AD60" s="35">
        <f>IF(AQ60="7",BH60,0)</f>
        <v>0</v>
      </c>
      <c r="AE60" s="35">
        <f>IF(AQ60="7",BI60,0)</f>
        <v>0</v>
      </c>
      <c r="AF60" s="35">
        <f>IF(AQ60="2",BH60,0)</f>
        <v>0</v>
      </c>
      <c r="AG60" s="35">
        <f>IF(AQ60="2",BI60,0)</f>
        <v>0</v>
      </c>
      <c r="AH60" s="35">
        <f>IF(AQ60="0",BJ60,0)</f>
        <v>0</v>
      </c>
      <c r="AI60" s="29" t="s">
        <v>417</v>
      </c>
      <c r="AJ60" s="17">
        <f>IF(AN60=0,K60,0)</f>
        <v>0</v>
      </c>
      <c r="AK60" s="17">
        <f>IF(AN60=15,K60,0)</f>
        <v>0</v>
      </c>
      <c r="AL60" s="17">
        <f>IF(AN60=21,K60,0)</f>
        <v>0</v>
      </c>
      <c r="AN60" s="35">
        <v>21</v>
      </c>
      <c r="AO60" s="35">
        <f>H60*0.0404926764314248</f>
        <v>0</v>
      </c>
      <c r="AP60" s="35">
        <f>H60*(1-0.0404926764314248)</f>
        <v>0</v>
      </c>
      <c r="AQ60" s="30" t="s">
        <v>7</v>
      </c>
      <c r="AV60" s="35">
        <f>AW60+AX60</f>
        <v>0</v>
      </c>
      <c r="AW60" s="35">
        <f>G60*AO60</f>
        <v>0</v>
      </c>
      <c r="AX60" s="35">
        <f>G60*AP60</f>
        <v>0</v>
      </c>
      <c r="AY60" s="36" t="s">
        <v>426</v>
      </c>
      <c r="AZ60" s="36" t="s">
        <v>440</v>
      </c>
      <c r="BA60" s="29" t="s">
        <v>449</v>
      </c>
      <c r="BC60" s="35">
        <f>AW60+AX60</f>
        <v>0</v>
      </c>
      <c r="BD60" s="35">
        <f>H60/(100-BE60)*100</f>
        <v>0</v>
      </c>
      <c r="BE60" s="35">
        <v>0</v>
      </c>
      <c r="BF60" s="35">
        <f>60</f>
        <v>60</v>
      </c>
      <c r="BH60" s="17">
        <f>G60*AO60</f>
        <v>0</v>
      </c>
      <c r="BI60" s="17">
        <f>G60*AP60</f>
        <v>0</v>
      </c>
      <c r="BJ60" s="17">
        <f>G60*H60</f>
        <v>0</v>
      </c>
    </row>
    <row r="61" spans="3:7" ht="12.75">
      <c r="C61" s="67" t="s">
        <v>191</v>
      </c>
      <c r="D61" s="68"/>
      <c r="E61" s="68"/>
      <c r="G61" s="18">
        <v>0.99</v>
      </c>
    </row>
    <row r="62" spans="1:62" ht="12.75">
      <c r="A62" s="5" t="s">
        <v>26</v>
      </c>
      <c r="B62" s="5" t="s">
        <v>98</v>
      </c>
      <c r="C62" s="69" t="s">
        <v>192</v>
      </c>
      <c r="D62" s="70"/>
      <c r="E62" s="70"/>
      <c r="F62" s="5" t="s">
        <v>384</v>
      </c>
      <c r="G62" s="17">
        <v>3.8</v>
      </c>
      <c r="H62" s="17">
        <v>0</v>
      </c>
      <c r="I62" s="17">
        <f>G62*AO62</f>
        <v>0</v>
      </c>
      <c r="J62" s="17">
        <f>G62*AP62</f>
        <v>0</v>
      </c>
      <c r="K62" s="17">
        <f>G62*H62</f>
        <v>0</v>
      </c>
      <c r="L62" s="30" t="s">
        <v>407</v>
      </c>
      <c r="Z62" s="35">
        <f>IF(AQ62="5",BJ62,0)</f>
        <v>0</v>
      </c>
      <c r="AB62" s="35">
        <f>IF(AQ62="1",BH62,0)</f>
        <v>0</v>
      </c>
      <c r="AC62" s="35">
        <f>IF(AQ62="1",BI62,0)</f>
        <v>0</v>
      </c>
      <c r="AD62" s="35">
        <f>IF(AQ62="7",BH62,0)</f>
        <v>0</v>
      </c>
      <c r="AE62" s="35">
        <f>IF(AQ62="7",BI62,0)</f>
        <v>0</v>
      </c>
      <c r="AF62" s="35">
        <f>IF(AQ62="2",BH62,0)</f>
        <v>0</v>
      </c>
      <c r="AG62" s="35">
        <f>IF(AQ62="2",BI62,0)</f>
        <v>0</v>
      </c>
      <c r="AH62" s="35">
        <f>IF(AQ62="0",BJ62,0)</f>
        <v>0</v>
      </c>
      <c r="AI62" s="29" t="s">
        <v>417</v>
      </c>
      <c r="AJ62" s="17">
        <f>IF(AN62=0,K62,0)</f>
        <v>0</v>
      </c>
      <c r="AK62" s="17">
        <f>IF(AN62=15,K62,0)</f>
        <v>0</v>
      </c>
      <c r="AL62" s="17">
        <f>IF(AN62=21,K62,0)</f>
        <v>0</v>
      </c>
      <c r="AN62" s="35">
        <v>21</v>
      </c>
      <c r="AO62" s="35">
        <f>H62*0</f>
        <v>0</v>
      </c>
      <c r="AP62" s="35">
        <f>H62*(1-0)</f>
        <v>0</v>
      </c>
      <c r="AQ62" s="30" t="s">
        <v>7</v>
      </c>
      <c r="AV62" s="35">
        <f>AW62+AX62</f>
        <v>0</v>
      </c>
      <c r="AW62" s="35">
        <f>G62*AO62</f>
        <v>0</v>
      </c>
      <c r="AX62" s="35">
        <f>G62*AP62</f>
        <v>0</v>
      </c>
      <c r="AY62" s="36" t="s">
        <v>426</v>
      </c>
      <c r="AZ62" s="36" t="s">
        <v>440</v>
      </c>
      <c r="BA62" s="29" t="s">
        <v>449</v>
      </c>
      <c r="BC62" s="35">
        <f>AW62+AX62</f>
        <v>0</v>
      </c>
      <c r="BD62" s="35">
        <f>H62/(100-BE62)*100</f>
        <v>0</v>
      </c>
      <c r="BE62" s="35">
        <v>0</v>
      </c>
      <c r="BF62" s="35">
        <f>62</f>
        <v>62</v>
      </c>
      <c r="BH62" s="17">
        <f>G62*AO62</f>
        <v>0</v>
      </c>
      <c r="BI62" s="17">
        <f>G62*AP62</f>
        <v>0</v>
      </c>
      <c r="BJ62" s="17">
        <f>G62*H62</f>
        <v>0</v>
      </c>
    </row>
    <row r="63" spans="3:7" ht="12.75">
      <c r="C63" s="67" t="s">
        <v>193</v>
      </c>
      <c r="D63" s="68"/>
      <c r="E63" s="68"/>
      <c r="G63" s="18">
        <v>3.8</v>
      </c>
    </row>
    <row r="64" spans="1:62" ht="12.75">
      <c r="A64" s="5" t="s">
        <v>27</v>
      </c>
      <c r="B64" s="5" t="s">
        <v>99</v>
      </c>
      <c r="C64" s="69" t="s">
        <v>194</v>
      </c>
      <c r="D64" s="70"/>
      <c r="E64" s="70"/>
      <c r="F64" s="5" t="s">
        <v>384</v>
      </c>
      <c r="G64" s="17">
        <v>2.1</v>
      </c>
      <c r="H64" s="17">
        <v>0</v>
      </c>
      <c r="I64" s="17">
        <f>G64*AO64</f>
        <v>0</v>
      </c>
      <c r="J64" s="17">
        <f>G64*AP64</f>
        <v>0</v>
      </c>
      <c r="K64" s="17">
        <f>G64*H64</f>
        <v>0</v>
      </c>
      <c r="L64" s="30" t="s">
        <v>407</v>
      </c>
      <c r="Z64" s="35">
        <f>IF(AQ64="5",BJ64,0)</f>
        <v>0</v>
      </c>
      <c r="AB64" s="35">
        <f>IF(AQ64="1",BH64,0)</f>
        <v>0</v>
      </c>
      <c r="AC64" s="35">
        <f>IF(AQ64="1",BI64,0)</f>
        <v>0</v>
      </c>
      <c r="AD64" s="35">
        <f>IF(AQ64="7",BH64,0)</f>
        <v>0</v>
      </c>
      <c r="AE64" s="35">
        <f>IF(AQ64="7",BI64,0)</f>
        <v>0</v>
      </c>
      <c r="AF64" s="35">
        <f>IF(AQ64="2",BH64,0)</f>
        <v>0</v>
      </c>
      <c r="AG64" s="35">
        <f>IF(AQ64="2",BI64,0)</f>
        <v>0</v>
      </c>
      <c r="AH64" s="35">
        <f>IF(AQ64="0",BJ64,0)</f>
        <v>0</v>
      </c>
      <c r="AI64" s="29" t="s">
        <v>417</v>
      </c>
      <c r="AJ64" s="17">
        <f>IF(AN64=0,K64,0)</f>
        <v>0</v>
      </c>
      <c r="AK64" s="17">
        <f>IF(AN64=15,K64,0)</f>
        <v>0</v>
      </c>
      <c r="AL64" s="17">
        <f>IF(AN64=21,K64,0)</f>
        <v>0</v>
      </c>
      <c r="AN64" s="35">
        <v>21</v>
      </c>
      <c r="AO64" s="35">
        <f>H64*0.122316602316602</f>
        <v>0</v>
      </c>
      <c r="AP64" s="35">
        <f>H64*(1-0.122316602316602)</f>
        <v>0</v>
      </c>
      <c r="AQ64" s="30" t="s">
        <v>7</v>
      </c>
      <c r="AV64" s="35">
        <f>AW64+AX64</f>
        <v>0</v>
      </c>
      <c r="AW64" s="35">
        <f>G64*AO64</f>
        <v>0</v>
      </c>
      <c r="AX64" s="35">
        <f>G64*AP64</f>
        <v>0</v>
      </c>
      <c r="AY64" s="36" t="s">
        <v>426</v>
      </c>
      <c r="AZ64" s="36" t="s">
        <v>440</v>
      </c>
      <c r="BA64" s="29" t="s">
        <v>449</v>
      </c>
      <c r="BC64" s="35">
        <f>AW64+AX64</f>
        <v>0</v>
      </c>
      <c r="BD64" s="35">
        <f>H64/(100-BE64)*100</f>
        <v>0</v>
      </c>
      <c r="BE64" s="35">
        <v>0</v>
      </c>
      <c r="BF64" s="35">
        <f>64</f>
        <v>64</v>
      </c>
      <c r="BH64" s="17">
        <f>G64*AO64</f>
        <v>0</v>
      </c>
      <c r="BI64" s="17">
        <f>G64*AP64</f>
        <v>0</v>
      </c>
      <c r="BJ64" s="17">
        <f>G64*H64</f>
        <v>0</v>
      </c>
    </row>
    <row r="65" spans="3:7" ht="12.75">
      <c r="C65" s="67" t="s">
        <v>195</v>
      </c>
      <c r="D65" s="68"/>
      <c r="E65" s="68"/>
      <c r="G65" s="18">
        <v>2.1</v>
      </c>
    </row>
    <row r="66" spans="1:47" ht="12.75">
      <c r="A66" s="4"/>
      <c r="B66" s="14" t="s">
        <v>100</v>
      </c>
      <c r="C66" s="75" t="s">
        <v>196</v>
      </c>
      <c r="D66" s="76"/>
      <c r="E66" s="76"/>
      <c r="F66" s="4" t="s">
        <v>6</v>
      </c>
      <c r="G66" s="4" t="s">
        <v>6</v>
      </c>
      <c r="H66" s="4" t="s">
        <v>6</v>
      </c>
      <c r="I66" s="38">
        <f>SUM(I67:I69)</f>
        <v>0</v>
      </c>
      <c r="J66" s="38">
        <f>SUM(J67:J69)</f>
        <v>0</v>
      </c>
      <c r="K66" s="38">
        <f>SUM(K67:K69)</f>
        <v>0</v>
      </c>
      <c r="L66" s="29"/>
      <c r="AI66" s="29" t="s">
        <v>417</v>
      </c>
      <c r="AS66" s="38">
        <f>SUM(AJ67:AJ69)</f>
        <v>0</v>
      </c>
      <c r="AT66" s="38">
        <f>SUM(AK67:AK69)</f>
        <v>0</v>
      </c>
      <c r="AU66" s="38">
        <f>SUM(AL67:AL69)</f>
        <v>0</v>
      </c>
    </row>
    <row r="67" spans="1:62" ht="12.75">
      <c r="A67" s="5" t="s">
        <v>28</v>
      </c>
      <c r="B67" s="5" t="s">
        <v>101</v>
      </c>
      <c r="C67" s="69" t="s">
        <v>197</v>
      </c>
      <c r="D67" s="70"/>
      <c r="E67" s="70"/>
      <c r="F67" s="5" t="s">
        <v>386</v>
      </c>
      <c r="G67" s="17">
        <v>15.8</v>
      </c>
      <c r="H67" s="17">
        <v>0</v>
      </c>
      <c r="I67" s="17">
        <f>G67*AO67</f>
        <v>0</v>
      </c>
      <c r="J67" s="17">
        <f>G67*AP67</f>
        <v>0</v>
      </c>
      <c r="K67" s="17">
        <f>G67*H67</f>
        <v>0</v>
      </c>
      <c r="L67" s="30" t="s">
        <v>407</v>
      </c>
      <c r="Z67" s="35">
        <f>IF(AQ67="5",BJ67,0)</f>
        <v>0</v>
      </c>
      <c r="AB67" s="35">
        <f>IF(AQ67="1",BH67,0)</f>
        <v>0</v>
      </c>
      <c r="AC67" s="35">
        <f>IF(AQ67="1",BI67,0)</f>
        <v>0</v>
      </c>
      <c r="AD67" s="35">
        <f>IF(AQ67="7",BH67,0)</f>
        <v>0</v>
      </c>
      <c r="AE67" s="35">
        <f>IF(AQ67="7",BI67,0)</f>
        <v>0</v>
      </c>
      <c r="AF67" s="35">
        <f>IF(AQ67="2",BH67,0)</f>
        <v>0</v>
      </c>
      <c r="AG67" s="35">
        <f>IF(AQ67="2",BI67,0)</f>
        <v>0</v>
      </c>
      <c r="AH67" s="35">
        <f>IF(AQ67="0",BJ67,0)</f>
        <v>0</v>
      </c>
      <c r="AI67" s="29" t="s">
        <v>417</v>
      </c>
      <c r="AJ67" s="17">
        <f>IF(AN67=0,K67,0)</f>
        <v>0</v>
      </c>
      <c r="AK67" s="17">
        <f>IF(AN67=15,K67,0)</f>
        <v>0</v>
      </c>
      <c r="AL67" s="17">
        <f>IF(AN67=21,K67,0)</f>
        <v>0</v>
      </c>
      <c r="AN67" s="35">
        <v>21</v>
      </c>
      <c r="AO67" s="35">
        <f>H67*0</f>
        <v>0</v>
      </c>
      <c r="AP67" s="35">
        <f>H67*(1-0)</f>
        <v>0</v>
      </c>
      <c r="AQ67" s="30" t="s">
        <v>7</v>
      </c>
      <c r="AV67" s="35">
        <f>AW67+AX67</f>
        <v>0</v>
      </c>
      <c r="AW67" s="35">
        <f>G67*AO67</f>
        <v>0</v>
      </c>
      <c r="AX67" s="35">
        <f>G67*AP67</f>
        <v>0</v>
      </c>
      <c r="AY67" s="36" t="s">
        <v>427</v>
      </c>
      <c r="AZ67" s="36" t="s">
        <v>440</v>
      </c>
      <c r="BA67" s="29" t="s">
        <v>449</v>
      </c>
      <c r="BC67" s="35">
        <f>AW67+AX67</f>
        <v>0</v>
      </c>
      <c r="BD67" s="35">
        <f>H67/(100-BE67)*100</f>
        <v>0</v>
      </c>
      <c r="BE67" s="35">
        <v>0</v>
      </c>
      <c r="BF67" s="35">
        <f>67</f>
        <v>67</v>
      </c>
      <c r="BH67" s="17">
        <f>G67*AO67</f>
        <v>0</v>
      </c>
      <c r="BI67" s="17">
        <f>G67*AP67</f>
        <v>0</v>
      </c>
      <c r="BJ67" s="17">
        <f>G67*H67</f>
        <v>0</v>
      </c>
    </row>
    <row r="68" spans="3:7" ht="12.75">
      <c r="C68" s="67" t="s">
        <v>198</v>
      </c>
      <c r="D68" s="68"/>
      <c r="E68" s="68"/>
      <c r="G68" s="18">
        <v>15.8</v>
      </c>
    </row>
    <row r="69" spans="1:62" ht="12.75">
      <c r="A69" s="5" t="s">
        <v>29</v>
      </c>
      <c r="B69" s="5" t="s">
        <v>102</v>
      </c>
      <c r="C69" s="69" t="s">
        <v>199</v>
      </c>
      <c r="D69" s="70"/>
      <c r="E69" s="70"/>
      <c r="F69" s="5" t="s">
        <v>386</v>
      </c>
      <c r="G69" s="17">
        <v>200</v>
      </c>
      <c r="H69" s="17">
        <v>0</v>
      </c>
      <c r="I69" s="17">
        <f>G69*AO69</f>
        <v>0</v>
      </c>
      <c r="J69" s="17">
        <f>G69*AP69</f>
        <v>0</v>
      </c>
      <c r="K69" s="17">
        <f>G69*H69</f>
        <v>0</v>
      </c>
      <c r="L69" s="30" t="s">
        <v>407</v>
      </c>
      <c r="Z69" s="35">
        <f>IF(AQ69="5",BJ69,0)</f>
        <v>0</v>
      </c>
      <c r="AB69" s="35">
        <f>IF(AQ69="1",BH69,0)</f>
        <v>0</v>
      </c>
      <c r="AC69" s="35">
        <f>IF(AQ69="1",BI69,0)</f>
        <v>0</v>
      </c>
      <c r="AD69" s="35">
        <f>IF(AQ69="7",BH69,0)</f>
        <v>0</v>
      </c>
      <c r="AE69" s="35">
        <f>IF(AQ69="7",BI69,0)</f>
        <v>0</v>
      </c>
      <c r="AF69" s="35">
        <f>IF(AQ69="2",BH69,0)</f>
        <v>0</v>
      </c>
      <c r="AG69" s="35">
        <f>IF(AQ69="2",BI69,0)</f>
        <v>0</v>
      </c>
      <c r="AH69" s="35">
        <f>IF(AQ69="0",BJ69,0)</f>
        <v>0</v>
      </c>
      <c r="AI69" s="29" t="s">
        <v>417</v>
      </c>
      <c r="AJ69" s="17">
        <f>IF(AN69=0,K69,0)</f>
        <v>0</v>
      </c>
      <c r="AK69" s="17">
        <f>IF(AN69=15,K69,0)</f>
        <v>0</v>
      </c>
      <c r="AL69" s="17">
        <f>IF(AN69=21,K69,0)</f>
        <v>0</v>
      </c>
      <c r="AN69" s="35">
        <v>21</v>
      </c>
      <c r="AO69" s="35">
        <f>H69*0.134328358208955</f>
        <v>0</v>
      </c>
      <c r="AP69" s="35">
        <f>H69*(1-0.134328358208955)</f>
        <v>0</v>
      </c>
      <c r="AQ69" s="30" t="s">
        <v>7</v>
      </c>
      <c r="AV69" s="35">
        <f>AW69+AX69</f>
        <v>0</v>
      </c>
      <c r="AW69" s="35">
        <f>G69*AO69</f>
        <v>0</v>
      </c>
      <c r="AX69" s="35">
        <f>G69*AP69</f>
        <v>0</v>
      </c>
      <c r="AY69" s="36" t="s">
        <v>427</v>
      </c>
      <c r="AZ69" s="36" t="s">
        <v>440</v>
      </c>
      <c r="BA69" s="29" t="s">
        <v>449</v>
      </c>
      <c r="BC69" s="35">
        <f>AW69+AX69</f>
        <v>0</v>
      </c>
      <c r="BD69" s="35">
        <f>H69/(100-BE69)*100</f>
        <v>0</v>
      </c>
      <c r="BE69" s="35">
        <v>0</v>
      </c>
      <c r="BF69" s="35">
        <f>69</f>
        <v>69</v>
      </c>
      <c r="BH69" s="17">
        <f>G69*AO69</f>
        <v>0</v>
      </c>
      <c r="BI69" s="17">
        <f>G69*AP69</f>
        <v>0</v>
      </c>
      <c r="BJ69" s="17">
        <f>G69*H69</f>
        <v>0</v>
      </c>
    </row>
    <row r="70" spans="3:7" ht="12.75">
      <c r="C70" s="67" t="s">
        <v>200</v>
      </c>
      <c r="D70" s="68"/>
      <c r="E70" s="68"/>
      <c r="G70" s="18">
        <v>200</v>
      </c>
    </row>
    <row r="71" spans="1:47" ht="12.75">
      <c r="A71" s="4"/>
      <c r="B71" s="14" t="s">
        <v>103</v>
      </c>
      <c r="C71" s="75" t="s">
        <v>201</v>
      </c>
      <c r="D71" s="76"/>
      <c r="E71" s="76"/>
      <c r="F71" s="4" t="s">
        <v>6</v>
      </c>
      <c r="G71" s="4" t="s">
        <v>6</v>
      </c>
      <c r="H71" s="4" t="s">
        <v>6</v>
      </c>
      <c r="I71" s="38">
        <f>SUM(I72:I72)</f>
        <v>0</v>
      </c>
      <c r="J71" s="38">
        <f>SUM(J72:J72)</f>
        <v>0</v>
      </c>
      <c r="K71" s="38">
        <f>SUM(K72:K72)</f>
        <v>0</v>
      </c>
      <c r="L71" s="29"/>
      <c r="AI71" s="29" t="s">
        <v>417</v>
      </c>
      <c r="AS71" s="38">
        <f>SUM(AJ72:AJ72)</f>
        <v>0</v>
      </c>
      <c r="AT71" s="38">
        <f>SUM(AK72:AK72)</f>
        <v>0</v>
      </c>
      <c r="AU71" s="38">
        <f>SUM(AL72:AL72)</f>
        <v>0</v>
      </c>
    </row>
    <row r="72" spans="1:62" ht="12.75">
      <c r="A72" s="5" t="s">
        <v>30</v>
      </c>
      <c r="B72" s="5" t="s">
        <v>104</v>
      </c>
      <c r="C72" s="69" t="s">
        <v>202</v>
      </c>
      <c r="D72" s="70"/>
      <c r="E72" s="70"/>
      <c r="F72" s="5" t="s">
        <v>383</v>
      </c>
      <c r="G72" s="17">
        <v>0.154</v>
      </c>
      <c r="H72" s="17">
        <v>0</v>
      </c>
      <c r="I72" s="17">
        <f>G72*AO72</f>
        <v>0</v>
      </c>
      <c r="J72" s="17">
        <f>G72*AP72</f>
        <v>0</v>
      </c>
      <c r="K72" s="17">
        <f>G72*H72</f>
        <v>0</v>
      </c>
      <c r="L72" s="30" t="s">
        <v>407</v>
      </c>
      <c r="Z72" s="35">
        <f>IF(AQ72="5",BJ72,0)</f>
        <v>0</v>
      </c>
      <c r="AB72" s="35">
        <f>IF(AQ72="1",BH72,0)</f>
        <v>0</v>
      </c>
      <c r="AC72" s="35">
        <f>IF(AQ72="1",BI72,0)</f>
        <v>0</v>
      </c>
      <c r="AD72" s="35">
        <f>IF(AQ72="7",BH72,0)</f>
        <v>0</v>
      </c>
      <c r="AE72" s="35">
        <f>IF(AQ72="7",BI72,0)</f>
        <v>0</v>
      </c>
      <c r="AF72" s="35">
        <f>IF(AQ72="2",BH72,0)</f>
        <v>0</v>
      </c>
      <c r="AG72" s="35">
        <f>IF(AQ72="2",BI72,0)</f>
        <v>0</v>
      </c>
      <c r="AH72" s="35">
        <f>IF(AQ72="0",BJ72,0)</f>
        <v>0</v>
      </c>
      <c r="AI72" s="29" t="s">
        <v>417</v>
      </c>
      <c r="AJ72" s="17">
        <f>IF(AN72=0,K72,0)</f>
        <v>0</v>
      </c>
      <c r="AK72" s="17">
        <f>IF(AN72=15,K72,0)</f>
        <v>0</v>
      </c>
      <c r="AL72" s="17">
        <f>IF(AN72=21,K72,0)</f>
        <v>0</v>
      </c>
      <c r="AN72" s="35">
        <v>21</v>
      </c>
      <c r="AO72" s="35">
        <f>H72*0</f>
        <v>0</v>
      </c>
      <c r="AP72" s="35">
        <f>H72*(1-0)</f>
        <v>0</v>
      </c>
      <c r="AQ72" s="30" t="s">
        <v>11</v>
      </c>
      <c r="AV72" s="35">
        <f>AW72+AX72</f>
        <v>0</v>
      </c>
      <c r="AW72" s="35">
        <f>G72*AO72</f>
        <v>0</v>
      </c>
      <c r="AX72" s="35">
        <f>G72*AP72</f>
        <v>0</v>
      </c>
      <c r="AY72" s="36" t="s">
        <v>428</v>
      </c>
      <c r="AZ72" s="36" t="s">
        <v>440</v>
      </c>
      <c r="BA72" s="29" t="s">
        <v>449</v>
      </c>
      <c r="BC72" s="35">
        <f>AW72+AX72</f>
        <v>0</v>
      </c>
      <c r="BD72" s="35">
        <f>H72/(100-BE72)*100</f>
        <v>0</v>
      </c>
      <c r="BE72" s="35">
        <v>0</v>
      </c>
      <c r="BF72" s="35">
        <f>72</f>
        <v>72</v>
      </c>
      <c r="BH72" s="17">
        <f>G72*AO72</f>
        <v>0</v>
      </c>
      <c r="BI72" s="17">
        <f>G72*AP72</f>
        <v>0</v>
      </c>
      <c r="BJ72" s="17">
        <f>G72*H72</f>
        <v>0</v>
      </c>
    </row>
    <row r="73" spans="3:7" ht="12.75">
      <c r="C73" s="67" t="s">
        <v>203</v>
      </c>
      <c r="D73" s="68"/>
      <c r="E73" s="68"/>
      <c r="G73" s="18">
        <v>0.154</v>
      </c>
    </row>
    <row r="74" spans="1:47" ht="12.75">
      <c r="A74" s="4"/>
      <c r="B74" s="14" t="s">
        <v>105</v>
      </c>
      <c r="C74" s="75" t="s">
        <v>204</v>
      </c>
      <c r="D74" s="76"/>
      <c r="E74" s="76"/>
      <c r="F74" s="4" t="s">
        <v>6</v>
      </c>
      <c r="G74" s="4" t="s">
        <v>6</v>
      </c>
      <c r="H74" s="4" t="s">
        <v>6</v>
      </c>
      <c r="I74" s="38">
        <f>SUM(I75:I81)</f>
        <v>0</v>
      </c>
      <c r="J74" s="38">
        <f>SUM(J75:J81)</f>
        <v>0</v>
      </c>
      <c r="K74" s="38">
        <f>SUM(K75:K81)</f>
        <v>0</v>
      </c>
      <c r="L74" s="29"/>
      <c r="AI74" s="29" t="s">
        <v>417</v>
      </c>
      <c r="AS74" s="38">
        <f>SUM(AJ75:AJ81)</f>
        <v>0</v>
      </c>
      <c r="AT74" s="38">
        <f>SUM(AK75:AK81)</f>
        <v>0</v>
      </c>
      <c r="AU74" s="38">
        <f>SUM(AL75:AL81)</f>
        <v>0</v>
      </c>
    </row>
    <row r="75" spans="1:62" ht="12.75">
      <c r="A75" s="5" t="s">
        <v>31</v>
      </c>
      <c r="B75" s="5" t="s">
        <v>106</v>
      </c>
      <c r="C75" s="69" t="s">
        <v>205</v>
      </c>
      <c r="D75" s="70"/>
      <c r="E75" s="70"/>
      <c r="F75" s="5" t="s">
        <v>383</v>
      </c>
      <c r="G75" s="17">
        <v>4.677</v>
      </c>
      <c r="H75" s="17">
        <v>0</v>
      </c>
      <c r="I75" s="17">
        <f>G75*AO75</f>
        <v>0</v>
      </c>
      <c r="J75" s="17">
        <f>G75*AP75</f>
        <v>0</v>
      </c>
      <c r="K75" s="17">
        <f>G75*H75</f>
        <v>0</v>
      </c>
      <c r="L75" s="30" t="s">
        <v>407</v>
      </c>
      <c r="Z75" s="35">
        <f>IF(AQ75="5",BJ75,0)</f>
        <v>0</v>
      </c>
      <c r="AB75" s="35">
        <f>IF(AQ75="1",BH75,0)</f>
        <v>0</v>
      </c>
      <c r="AC75" s="35">
        <f>IF(AQ75="1",BI75,0)</f>
        <v>0</v>
      </c>
      <c r="AD75" s="35">
        <f>IF(AQ75="7",BH75,0)</f>
        <v>0</v>
      </c>
      <c r="AE75" s="35">
        <f>IF(AQ75="7",BI75,0)</f>
        <v>0</v>
      </c>
      <c r="AF75" s="35">
        <f>IF(AQ75="2",BH75,0)</f>
        <v>0</v>
      </c>
      <c r="AG75" s="35">
        <f>IF(AQ75="2",BI75,0)</f>
        <v>0</v>
      </c>
      <c r="AH75" s="35">
        <f>IF(AQ75="0",BJ75,0)</f>
        <v>0</v>
      </c>
      <c r="AI75" s="29" t="s">
        <v>417</v>
      </c>
      <c r="AJ75" s="17">
        <f>IF(AN75=0,K75,0)</f>
        <v>0</v>
      </c>
      <c r="AK75" s="17">
        <f>IF(AN75=15,K75,0)</f>
        <v>0</v>
      </c>
      <c r="AL75" s="17">
        <f>IF(AN75=21,K75,0)</f>
        <v>0</v>
      </c>
      <c r="AN75" s="35">
        <v>21</v>
      </c>
      <c r="AO75" s="35">
        <f>H75*0</f>
        <v>0</v>
      </c>
      <c r="AP75" s="35">
        <f>H75*(1-0)</f>
        <v>0</v>
      </c>
      <c r="AQ75" s="30" t="s">
        <v>11</v>
      </c>
      <c r="AV75" s="35">
        <f>AW75+AX75</f>
        <v>0</v>
      </c>
      <c r="AW75" s="35">
        <f>G75*AO75</f>
        <v>0</v>
      </c>
      <c r="AX75" s="35">
        <f>G75*AP75</f>
        <v>0</v>
      </c>
      <c r="AY75" s="36" t="s">
        <v>429</v>
      </c>
      <c r="AZ75" s="36" t="s">
        <v>440</v>
      </c>
      <c r="BA75" s="29" t="s">
        <v>449</v>
      </c>
      <c r="BC75" s="35">
        <f>AW75+AX75</f>
        <v>0</v>
      </c>
      <c r="BD75" s="35">
        <f>H75/(100-BE75)*100</f>
        <v>0</v>
      </c>
      <c r="BE75" s="35">
        <v>0</v>
      </c>
      <c r="BF75" s="35">
        <f>75</f>
        <v>75</v>
      </c>
      <c r="BH75" s="17">
        <f>G75*AO75</f>
        <v>0</v>
      </c>
      <c r="BI75" s="17">
        <f>G75*AP75</f>
        <v>0</v>
      </c>
      <c r="BJ75" s="17">
        <f>G75*H75</f>
        <v>0</v>
      </c>
    </row>
    <row r="76" spans="3:7" ht="12.75">
      <c r="C76" s="67" t="s">
        <v>206</v>
      </c>
      <c r="D76" s="68"/>
      <c r="E76" s="68"/>
      <c r="G76" s="18">
        <v>4.677</v>
      </c>
    </row>
    <row r="77" spans="1:62" ht="12.75">
      <c r="A77" s="5" t="s">
        <v>32</v>
      </c>
      <c r="B77" s="5" t="s">
        <v>107</v>
      </c>
      <c r="C77" s="69" t="s">
        <v>207</v>
      </c>
      <c r="D77" s="70"/>
      <c r="E77" s="70"/>
      <c r="F77" s="5" t="s">
        <v>383</v>
      </c>
      <c r="G77" s="17">
        <v>4.677</v>
      </c>
      <c r="H77" s="17">
        <v>0</v>
      </c>
      <c r="I77" s="17">
        <f>G77*AO77</f>
        <v>0</v>
      </c>
      <c r="J77" s="17">
        <f>G77*AP77</f>
        <v>0</v>
      </c>
      <c r="K77" s="17">
        <f>G77*H77</f>
        <v>0</v>
      </c>
      <c r="L77" s="30" t="s">
        <v>407</v>
      </c>
      <c r="Z77" s="35">
        <f>IF(AQ77="5",BJ77,0)</f>
        <v>0</v>
      </c>
      <c r="AB77" s="35">
        <f>IF(AQ77="1",BH77,0)</f>
        <v>0</v>
      </c>
      <c r="AC77" s="35">
        <f>IF(AQ77="1",BI77,0)</f>
        <v>0</v>
      </c>
      <c r="AD77" s="35">
        <f>IF(AQ77="7",BH77,0)</f>
        <v>0</v>
      </c>
      <c r="AE77" s="35">
        <f>IF(AQ77="7",BI77,0)</f>
        <v>0</v>
      </c>
      <c r="AF77" s="35">
        <f>IF(AQ77="2",BH77,0)</f>
        <v>0</v>
      </c>
      <c r="AG77" s="35">
        <f>IF(AQ77="2",BI77,0)</f>
        <v>0</v>
      </c>
      <c r="AH77" s="35">
        <f>IF(AQ77="0",BJ77,0)</f>
        <v>0</v>
      </c>
      <c r="AI77" s="29" t="s">
        <v>417</v>
      </c>
      <c r="AJ77" s="17">
        <f>IF(AN77=0,K77,0)</f>
        <v>0</v>
      </c>
      <c r="AK77" s="17">
        <f>IF(AN77=15,K77,0)</f>
        <v>0</v>
      </c>
      <c r="AL77" s="17">
        <f>IF(AN77=21,K77,0)</f>
        <v>0</v>
      </c>
      <c r="AN77" s="35">
        <v>21</v>
      </c>
      <c r="AO77" s="35">
        <f>H77*0.00934994307554688</f>
        <v>0</v>
      </c>
      <c r="AP77" s="35">
        <f>H77*(1-0.00934994307554688)</f>
        <v>0</v>
      </c>
      <c r="AQ77" s="30" t="s">
        <v>11</v>
      </c>
      <c r="AV77" s="35">
        <f>AW77+AX77</f>
        <v>0</v>
      </c>
      <c r="AW77" s="35">
        <f>G77*AO77</f>
        <v>0</v>
      </c>
      <c r="AX77" s="35">
        <f>G77*AP77</f>
        <v>0</v>
      </c>
      <c r="AY77" s="36" t="s">
        <v>429</v>
      </c>
      <c r="AZ77" s="36" t="s">
        <v>440</v>
      </c>
      <c r="BA77" s="29" t="s">
        <v>449</v>
      </c>
      <c r="BC77" s="35">
        <f>AW77+AX77</f>
        <v>0</v>
      </c>
      <c r="BD77" s="35">
        <f>H77/(100-BE77)*100</f>
        <v>0</v>
      </c>
      <c r="BE77" s="35">
        <v>0</v>
      </c>
      <c r="BF77" s="35">
        <f>77</f>
        <v>77</v>
      </c>
      <c r="BH77" s="17">
        <f>G77*AO77</f>
        <v>0</v>
      </c>
      <c r="BI77" s="17">
        <f>G77*AP77</f>
        <v>0</v>
      </c>
      <c r="BJ77" s="17">
        <f>G77*H77</f>
        <v>0</v>
      </c>
    </row>
    <row r="78" spans="3:7" ht="12.75">
      <c r="C78" s="67" t="s">
        <v>208</v>
      </c>
      <c r="D78" s="68"/>
      <c r="E78" s="68"/>
      <c r="G78" s="18">
        <v>4.677</v>
      </c>
    </row>
    <row r="79" spans="1:62" ht="12.75">
      <c r="A79" s="5" t="s">
        <v>33</v>
      </c>
      <c r="B79" s="5" t="s">
        <v>108</v>
      </c>
      <c r="C79" s="69" t="s">
        <v>209</v>
      </c>
      <c r="D79" s="70"/>
      <c r="E79" s="70"/>
      <c r="F79" s="5" t="s">
        <v>383</v>
      </c>
      <c r="G79" s="17">
        <v>4.677</v>
      </c>
      <c r="H79" s="17">
        <v>0</v>
      </c>
      <c r="I79" s="17">
        <f>G79*AO79</f>
        <v>0</v>
      </c>
      <c r="J79" s="17">
        <f>G79*AP79</f>
        <v>0</v>
      </c>
      <c r="K79" s="17">
        <f>G79*H79</f>
        <v>0</v>
      </c>
      <c r="L79" s="30" t="s">
        <v>407</v>
      </c>
      <c r="Z79" s="35">
        <f>IF(AQ79="5",BJ79,0)</f>
        <v>0</v>
      </c>
      <c r="AB79" s="35">
        <f>IF(AQ79="1",BH79,0)</f>
        <v>0</v>
      </c>
      <c r="AC79" s="35">
        <f>IF(AQ79="1",BI79,0)</f>
        <v>0</v>
      </c>
      <c r="AD79" s="35">
        <f>IF(AQ79="7",BH79,0)</f>
        <v>0</v>
      </c>
      <c r="AE79" s="35">
        <f>IF(AQ79="7",BI79,0)</f>
        <v>0</v>
      </c>
      <c r="AF79" s="35">
        <f>IF(AQ79="2",BH79,0)</f>
        <v>0</v>
      </c>
      <c r="AG79" s="35">
        <f>IF(AQ79="2",BI79,0)</f>
        <v>0</v>
      </c>
      <c r="AH79" s="35">
        <f>IF(AQ79="0",BJ79,0)</f>
        <v>0</v>
      </c>
      <c r="AI79" s="29" t="s">
        <v>417</v>
      </c>
      <c r="AJ79" s="17">
        <f>IF(AN79=0,K79,0)</f>
        <v>0</v>
      </c>
      <c r="AK79" s="17">
        <f>IF(AN79=15,K79,0)</f>
        <v>0</v>
      </c>
      <c r="AL79" s="17">
        <f>IF(AN79=21,K79,0)</f>
        <v>0</v>
      </c>
      <c r="AN79" s="35">
        <v>21</v>
      </c>
      <c r="AO79" s="35">
        <f>H79*0</f>
        <v>0</v>
      </c>
      <c r="AP79" s="35">
        <f>H79*(1-0)</f>
        <v>0</v>
      </c>
      <c r="AQ79" s="30" t="s">
        <v>11</v>
      </c>
      <c r="AV79" s="35">
        <f>AW79+AX79</f>
        <v>0</v>
      </c>
      <c r="AW79" s="35">
        <f>G79*AO79</f>
        <v>0</v>
      </c>
      <c r="AX79" s="35">
        <f>G79*AP79</f>
        <v>0</v>
      </c>
      <c r="AY79" s="36" t="s">
        <v>429</v>
      </c>
      <c r="AZ79" s="36" t="s">
        <v>440</v>
      </c>
      <c r="BA79" s="29" t="s">
        <v>449</v>
      </c>
      <c r="BC79" s="35">
        <f>AW79+AX79</f>
        <v>0</v>
      </c>
      <c r="BD79" s="35">
        <f>H79/(100-BE79)*100</f>
        <v>0</v>
      </c>
      <c r="BE79" s="35">
        <v>0</v>
      </c>
      <c r="BF79" s="35">
        <f>79</f>
        <v>79</v>
      </c>
      <c r="BH79" s="17">
        <f>G79*AO79</f>
        <v>0</v>
      </c>
      <c r="BI79" s="17">
        <f>G79*AP79</f>
        <v>0</v>
      </c>
      <c r="BJ79" s="17">
        <f>G79*H79</f>
        <v>0</v>
      </c>
    </row>
    <row r="80" spans="3:7" ht="12.75">
      <c r="C80" s="67" t="s">
        <v>208</v>
      </c>
      <c r="D80" s="68"/>
      <c r="E80" s="68"/>
      <c r="G80" s="18">
        <v>4.677</v>
      </c>
    </row>
    <row r="81" spans="1:62" ht="12.75">
      <c r="A81" s="5" t="s">
        <v>34</v>
      </c>
      <c r="B81" s="5" t="s">
        <v>109</v>
      </c>
      <c r="C81" s="69" t="s">
        <v>210</v>
      </c>
      <c r="D81" s="70"/>
      <c r="E81" s="70"/>
      <c r="F81" s="5" t="s">
        <v>383</v>
      </c>
      <c r="G81" s="17">
        <v>4.677</v>
      </c>
      <c r="H81" s="17">
        <v>0</v>
      </c>
      <c r="I81" s="17">
        <f>G81*AO81</f>
        <v>0</v>
      </c>
      <c r="J81" s="17">
        <f>G81*AP81</f>
        <v>0</v>
      </c>
      <c r="K81" s="17">
        <f>G81*H81</f>
        <v>0</v>
      </c>
      <c r="L81" s="30" t="s">
        <v>407</v>
      </c>
      <c r="Z81" s="35">
        <f>IF(AQ81="5",BJ81,0)</f>
        <v>0</v>
      </c>
      <c r="AB81" s="35">
        <f>IF(AQ81="1",BH81,0)</f>
        <v>0</v>
      </c>
      <c r="AC81" s="35">
        <f>IF(AQ81="1",BI81,0)</f>
        <v>0</v>
      </c>
      <c r="AD81" s="35">
        <f>IF(AQ81="7",BH81,0)</f>
        <v>0</v>
      </c>
      <c r="AE81" s="35">
        <f>IF(AQ81="7",BI81,0)</f>
        <v>0</v>
      </c>
      <c r="AF81" s="35">
        <f>IF(AQ81="2",BH81,0)</f>
        <v>0</v>
      </c>
      <c r="AG81" s="35">
        <f>IF(AQ81="2",BI81,0)</f>
        <v>0</v>
      </c>
      <c r="AH81" s="35">
        <f>IF(AQ81="0",BJ81,0)</f>
        <v>0</v>
      </c>
      <c r="AI81" s="29" t="s">
        <v>417</v>
      </c>
      <c r="AJ81" s="17">
        <f>IF(AN81=0,K81,0)</f>
        <v>0</v>
      </c>
      <c r="AK81" s="17">
        <f>IF(AN81=15,K81,0)</f>
        <v>0</v>
      </c>
      <c r="AL81" s="17">
        <f>IF(AN81=21,K81,0)</f>
        <v>0</v>
      </c>
      <c r="AN81" s="35">
        <v>21</v>
      </c>
      <c r="AO81" s="35">
        <f>H81*0</f>
        <v>0</v>
      </c>
      <c r="AP81" s="35">
        <f>H81*(1-0)</f>
        <v>0</v>
      </c>
      <c r="AQ81" s="30" t="s">
        <v>11</v>
      </c>
      <c r="AV81" s="35">
        <f>AW81+AX81</f>
        <v>0</v>
      </c>
      <c r="AW81" s="35">
        <f>G81*AO81</f>
        <v>0</v>
      </c>
      <c r="AX81" s="35">
        <f>G81*AP81</f>
        <v>0</v>
      </c>
      <c r="AY81" s="36" t="s">
        <v>429</v>
      </c>
      <c r="AZ81" s="36" t="s">
        <v>440</v>
      </c>
      <c r="BA81" s="29" t="s">
        <v>449</v>
      </c>
      <c r="BC81" s="35">
        <f>AW81+AX81</f>
        <v>0</v>
      </c>
      <c r="BD81" s="35">
        <f>H81/(100-BE81)*100</f>
        <v>0</v>
      </c>
      <c r="BE81" s="35">
        <v>0</v>
      </c>
      <c r="BF81" s="35">
        <f>81</f>
        <v>81</v>
      </c>
      <c r="BH81" s="17">
        <f>G81*AO81</f>
        <v>0</v>
      </c>
      <c r="BI81" s="17">
        <f>G81*AP81</f>
        <v>0</v>
      </c>
      <c r="BJ81" s="17">
        <f>G81*H81</f>
        <v>0</v>
      </c>
    </row>
    <row r="82" spans="3:7" ht="12.75">
      <c r="C82" s="67" t="s">
        <v>208</v>
      </c>
      <c r="D82" s="68"/>
      <c r="E82" s="68"/>
      <c r="G82" s="18">
        <v>4.677</v>
      </c>
    </row>
    <row r="83" spans="1:12" ht="12.75">
      <c r="A83" s="7"/>
      <c r="B83" s="15"/>
      <c r="C83" s="77" t="s">
        <v>211</v>
      </c>
      <c r="D83" s="78"/>
      <c r="E83" s="78"/>
      <c r="F83" s="7" t="s">
        <v>6</v>
      </c>
      <c r="G83" s="7" t="s">
        <v>6</v>
      </c>
      <c r="H83" s="7" t="s">
        <v>6</v>
      </c>
      <c r="I83" s="39">
        <f>I84+I89+I114+I117</f>
        <v>40000</v>
      </c>
      <c r="J83" s="39">
        <f>J84+J89+J114+J117</f>
        <v>110000</v>
      </c>
      <c r="K83" s="39">
        <f>K84+K89+K114+K117</f>
        <v>150000</v>
      </c>
      <c r="L83" s="32"/>
    </row>
    <row r="84" spans="1:47" ht="12.75">
      <c r="A84" s="4"/>
      <c r="B84" s="14" t="s">
        <v>37</v>
      </c>
      <c r="C84" s="75" t="s">
        <v>212</v>
      </c>
      <c r="D84" s="76"/>
      <c r="E84" s="76"/>
      <c r="F84" s="4" t="s">
        <v>6</v>
      </c>
      <c r="G84" s="4" t="s">
        <v>6</v>
      </c>
      <c r="H84" s="4" t="s">
        <v>6</v>
      </c>
      <c r="I84" s="38">
        <f>SUM(I85:I87)</f>
        <v>0</v>
      </c>
      <c r="J84" s="38">
        <f>SUM(J85:J87)</f>
        <v>0</v>
      </c>
      <c r="K84" s="38">
        <f>SUM(K85:K87)</f>
        <v>0</v>
      </c>
      <c r="L84" s="29"/>
      <c r="AI84" s="29" t="s">
        <v>418</v>
      </c>
      <c r="AS84" s="38">
        <f>SUM(AJ85:AJ87)</f>
        <v>0</v>
      </c>
      <c r="AT84" s="38">
        <f>SUM(AK85:AK87)</f>
        <v>0</v>
      </c>
      <c r="AU84" s="38">
        <f>SUM(AL85:AL87)</f>
        <v>0</v>
      </c>
    </row>
    <row r="85" spans="1:62" ht="12.75">
      <c r="A85" s="5" t="s">
        <v>35</v>
      </c>
      <c r="B85" s="5" t="s">
        <v>110</v>
      </c>
      <c r="C85" s="69" t="s">
        <v>213</v>
      </c>
      <c r="D85" s="70"/>
      <c r="E85" s="70"/>
      <c r="F85" s="5" t="s">
        <v>384</v>
      </c>
      <c r="G85" s="17">
        <v>3.19072</v>
      </c>
      <c r="H85" s="17">
        <v>0</v>
      </c>
      <c r="I85" s="17">
        <f>G85*AO85</f>
        <v>0</v>
      </c>
      <c r="J85" s="17">
        <f>G85*AP85</f>
        <v>0</v>
      </c>
      <c r="K85" s="17">
        <f>G85*H85</f>
        <v>0</v>
      </c>
      <c r="L85" s="30" t="s">
        <v>407</v>
      </c>
      <c r="Z85" s="35">
        <f>IF(AQ85="5",BJ85,0)</f>
        <v>0</v>
      </c>
      <c r="AB85" s="35">
        <f>IF(AQ85="1",BH85,0)</f>
        <v>0</v>
      </c>
      <c r="AC85" s="35">
        <f>IF(AQ85="1",BI85,0)</f>
        <v>0</v>
      </c>
      <c r="AD85" s="35">
        <f>IF(AQ85="7",BH85,0)</f>
        <v>0</v>
      </c>
      <c r="AE85" s="35">
        <f>IF(AQ85="7",BI85,0)</f>
        <v>0</v>
      </c>
      <c r="AF85" s="35">
        <f>IF(AQ85="2",BH85,0)</f>
        <v>0</v>
      </c>
      <c r="AG85" s="35">
        <f>IF(AQ85="2",BI85,0)</f>
        <v>0</v>
      </c>
      <c r="AH85" s="35">
        <f>IF(AQ85="0",BJ85,0)</f>
        <v>0</v>
      </c>
      <c r="AI85" s="29" t="s">
        <v>418</v>
      </c>
      <c r="AJ85" s="17">
        <f>IF(AN85=0,K85,0)</f>
        <v>0</v>
      </c>
      <c r="AK85" s="17">
        <f>IF(AN85=15,K85,0)</f>
        <v>0</v>
      </c>
      <c r="AL85" s="17">
        <f>IF(AN85=21,K85,0)</f>
        <v>0</v>
      </c>
      <c r="AN85" s="35">
        <v>21</v>
      </c>
      <c r="AO85" s="35">
        <f>H85*0.766539968795677</f>
        <v>0</v>
      </c>
      <c r="AP85" s="35">
        <f>H85*(1-0.766539968795677)</f>
        <v>0</v>
      </c>
      <c r="AQ85" s="30" t="s">
        <v>7</v>
      </c>
      <c r="AV85" s="35">
        <f>AW85+AX85</f>
        <v>0</v>
      </c>
      <c r="AW85" s="35">
        <f>G85*AO85</f>
        <v>0</v>
      </c>
      <c r="AX85" s="35">
        <f>G85*AP85</f>
        <v>0</v>
      </c>
      <c r="AY85" s="36" t="s">
        <v>430</v>
      </c>
      <c r="AZ85" s="36" t="s">
        <v>441</v>
      </c>
      <c r="BA85" s="29" t="s">
        <v>450</v>
      </c>
      <c r="BC85" s="35">
        <f>AW85+AX85</f>
        <v>0</v>
      </c>
      <c r="BD85" s="35">
        <f>H85/(100-BE85)*100</f>
        <v>0</v>
      </c>
      <c r="BE85" s="35">
        <v>0</v>
      </c>
      <c r="BF85" s="35">
        <f>85</f>
        <v>85</v>
      </c>
      <c r="BH85" s="17">
        <f>G85*AO85</f>
        <v>0</v>
      </c>
      <c r="BI85" s="17">
        <f>G85*AP85</f>
        <v>0</v>
      </c>
      <c r="BJ85" s="17">
        <f>G85*H85</f>
        <v>0</v>
      </c>
    </row>
    <row r="86" spans="3:7" ht="12.75">
      <c r="C86" s="67" t="s">
        <v>214</v>
      </c>
      <c r="D86" s="68"/>
      <c r="E86" s="68"/>
      <c r="G86" s="18">
        <v>3.19072</v>
      </c>
    </row>
    <row r="87" spans="1:62" ht="12.75">
      <c r="A87" s="5" t="s">
        <v>36</v>
      </c>
      <c r="B87" s="5" t="s">
        <v>111</v>
      </c>
      <c r="C87" s="69" t="s">
        <v>215</v>
      </c>
      <c r="D87" s="70"/>
      <c r="E87" s="70"/>
      <c r="F87" s="5" t="s">
        <v>384</v>
      </c>
      <c r="G87" s="17">
        <v>0.264</v>
      </c>
      <c r="H87" s="17">
        <v>0</v>
      </c>
      <c r="I87" s="17">
        <f>G87*AO87</f>
        <v>0</v>
      </c>
      <c r="J87" s="17">
        <f>G87*AP87</f>
        <v>0</v>
      </c>
      <c r="K87" s="17">
        <f>G87*H87</f>
        <v>0</v>
      </c>
      <c r="L87" s="30" t="s">
        <v>407</v>
      </c>
      <c r="Z87" s="35">
        <f>IF(AQ87="5",BJ87,0)</f>
        <v>0</v>
      </c>
      <c r="AB87" s="35">
        <f>IF(AQ87="1",BH87,0)</f>
        <v>0</v>
      </c>
      <c r="AC87" s="35">
        <f>IF(AQ87="1",BI87,0)</f>
        <v>0</v>
      </c>
      <c r="AD87" s="35">
        <f>IF(AQ87="7",BH87,0)</f>
        <v>0</v>
      </c>
      <c r="AE87" s="35">
        <f>IF(AQ87="7",BI87,0)</f>
        <v>0</v>
      </c>
      <c r="AF87" s="35">
        <f>IF(AQ87="2",BH87,0)</f>
        <v>0</v>
      </c>
      <c r="AG87" s="35">
        <f>IF(AQ87="2",BI87,0)</f>
        <v>0</v>
      </c>
      <c r="AH87" s="35">
        <f>IF(AQ87="0",BJ87,0)</f>
        <v>0</v>
      </c>
      <c r="AI87" s="29" t="s">
        <v>418</v>
      </c>
      <c r="AJ87" s="17">
        <f>IF(AN87=0,K87,0)</f>
        <v>0</v>
      </c>
      <c r="AK87" s="17">
        <f>IF(AN87=15,K87,0)</f>
        <v>0</v>
      </c>
      <c r="AL87" s="17">
        <f>IF(AN87=21,K87,0)</f>
        <v>0</v>
      </c>
      <c r="AN87" s="35">
        <v>21</v>
      </c>
      <c r="AO87" s="35">
        <f>H87*0.729703109971145</f>
        <v>0</v>
      </c>
      <c r="AP87" s="35">
        <f>H87*(1-0.729703109971145)</f>
        <v>0</v>
      </c>
      <c r="AQ87" s="30" t="s">
        <v>7</v>
      </c>
      <c r="AV87" s="35">
        <f>AW87+AX87</f>
        <v>0</v>
      </c>
      <c r="AW87" s="35">
        <f>G87*AO87</f>
        <v>0</v>
      </c>
      <c r="AX87" s="35">
        <f>G87*AP87</f>
        <v>0</v>
      </c>
      <c r="AY87" s="36" t="s">
        <v>430</v>
      </c>
      <c r="AZ87" s="36" t="s">
        <v>441</v>
      </c>
      <c r="BA87" s="29" t="s">
        <v>450</v>
      </c>
      <c r="BC87" s="35">
        <f>AW87+AX87</f>
        <v>0</v>
      </c>
      <c r="BD87" s="35">
        <f>H87/(100-BE87)*100</f>
        <v>0</v>
      </c>
      <c r="BE87" s="35">
        <v>0</v>
      </c>
      <c r="BF87" s="35">
        <f>87</f>
        <v>87</v>
      </c>
      <c r="BH87" s="17">
        <f>G87*AO87</f>
        <v>0</v>
      </c>
      <c r="BI87" s="17">
        <f>G87*AP87</f>
        <v>0</v>
      </c>
      <c r="BJ87" s="17">
        <f>G87*H87</f>
        <v>0</v>
      </c>
    </row>
    <row r="88" spans="3:7" ht="12.75">
      <c r="C88" s="67" t="s">
        <v>216</v>
      </c>
      <c r="D88" s="68"/>
      <c r="E88" s="68"/>
      <c r="G88" s="18">
        <v>0.264</v>
      </c>
    </row>
    <row r="89" spans="1:47" ht="12.75">
      <c r="A89" s="4"/>
      <c r="B89" s="14" t="s">
        <v>72</v>
      </c>
      <c r="C89" s="75" t="s">
        <v>148</v>
      </c>
      <c r="D89" s="76"/>
      <c r="E89" s="76"/>
      <c r="F89" s="4" t="s">
        <v>6</v>
      </c>
      <c r="G89" s="4" t="s">
        <v>6</v>
      </c>
      <c r="H89" s="4" t="s">
        <v>6</v>
      </c>
      <c r="I89" s="38">
        <f>SUM(I90:I112)</f>
        <v>0</v>
      </c>
      <c r="J89" s="38">
        <f>SUM(J90:J112)</f>
        <v>0</v>
      </c>
      <c r="K89" s="38">
        <f>SUM(K90:K112)</f>
        <v>0</v>
      </c>
      <c r="L89" s="29"/>
      <c r="AI89" s="29" t="s">
        <v>418</v>
      </c>
      <c r="AS89" s="38">
        <f>SUM(AJ90:AJ112)</f>
        <v>0</v>
      </c>
      <c r="AT89" s="38">
        <f>SUM(AK90:AK112)</f>
        <v>0</v>
      </c>
      <c r="AU89" s="38">
        <f>SUM(AL90:AL112)</f>
        <v>0</v>
      </c>
    </row>
    <row r="90" spans="1:62" ht="12.75">
      <c r="A90" s="5" t="s">
        <v>37</v>
      </c>
      <c r="B90" s="5" t="s">
        <v>112</v>
      </c>
      <c r="C90" s="69" t="s">
        <v>217</v>
      </c>
      <c r="D90" s="70"/>
      <c r="E90" s="70"/>
      <c r="F90" s="5" t="s">
        <v>387</v>
      </c>
      <c r="G90" s="17">
        <v>1</v>
      </c>
      <c r="H90" s="17">
        <v>0</v>
      </c>
      <c r="I90" s="17">
        <f>G90*AO90</f>
        <v>0</v>
      </c>
      <c r="J90" s="17">
        <f>G90*AP90</f>
        <v>0</v>
      </c>
      <c r="K90" s="17">
        <f>G90*H90</f>
        <v>0</v>
      </c>
      <c r="L90" s="30" t="s">
        <v>407</v>
      </c>
      <c r="Z90" s="35">
        <f>IF(AQ90="5",BJ90,0)</f>
        <v>0</v>
      </c>
      <c r="AB90" s="35">
        <f>IF(AQ90="1",BH90,0)</f>
        <v>0</v>
      </c>
      <c r="AC90" s="35">
        <f>IF(AQ90="1",BI90,0)</f>
        <v>0</v>
      </c>
      <c r="AD90" s="35">
        <f>IF(AQ90="7",BH90,0)</f>
        <v>0</v>
      </c>
      <c r="AE90" s="35">
        <f>IF(AQ90="7",BI90,0)</f>
        <v>0</v>
      </c>
      <c r="AF90" s="35">
        <f>IF(AQ90="2",BH90,0)</f>
        <v>0</v>
      </c>
      <c r="AG90" s="35">
        <f>IF(AQ90="2",BI90,0)</f>
        <v>0</v>
      </c>
      <c r="AH90" s="35">
        <f>IF(AQ90="0",BJ90,0)</f>
        <v>0</v>
      </c>
      <c r="AI90" s="29" t="s">
        <v>418</v>
      </c>
      <c r="AJ90" s="17">
        <f>IF(AN90=0,K90,0)</f>
        <v>0</v>
      </c>
      <c r="AK90" s="17">
        <f>IF(AN90=15,K90,0)</f>
        <v>0</v>
      </c>
      <c r="AL90" s="17">
        <f>IF(AN90=21,K90,0)</f>
        <v>0</v>
      </c>
      <c r="AN90" s="35">
        <v>21</v>
      </c>
      <c r="AO90" s="35">
        <f>H90*0.154020031818584</f>
        <v>0</v>
      </c>
      <c r="AP90" s="35">
        <f>H90*(1-0.154020031818584)</f>
        <v>0</v>
      </c>
      <c r="AQ90" s="30" t="s">
        <v>7</v>
      </c>
      <c r="AV90" s="35">
        <f>AW90+AX90</f>
        <v>0</v>
      </c>
      <c r="AW90" s="35">
        <f>G90*AO90</f>
        <v>0</v>
      </c>
      <c r="AX90" s="35">
        <f>G90*AP90</f>
        <v>0</v>
      </c>
      <c r="AY90" s="36" t="s">
        <v>420</v>
      </c>
      <c r="AZ90" s="36" t="s">
        <v>442</v>
      </c>
      <c r="BA90" s="29" t="s">
        <v>450</v>
      </c>
      <c r="BC90" s="35">
        <f>AW90+AX90</f>
        <v>0</v>
      </c>
      <c r="BD90" s="35">
        <f>H90/(100-BE90)*100</f>
        <v>0</v>
      </c>
      <c r="BE90" s="35">
        <v>0</v>
      </c>
      <c r="BF90" s="35">
        <f>90</f>
        <v>90</v>
      </c>
      <c r="BH90" s="17">
        <f>G90*AO90</f>
        <v>0</v>
      </c>
      <c r="BI90" s="17">
        <f>G90*AP90</f>
        <v>0</v>
      </c>
      <c r="BJ90" s="17">
        <f>G90*H90</f>
        <v>0</v>
      </c>
    </row>
    <row r="91" spans="3:7" ht="12.75">
      <c r="C91" s="67" t="s">
        <v>218</v>
      </c>
      <c r="D91" s="68"/>
      <c r="E91" s="68"/>
      <c r="G91" s="18">
        <v>1</v>
      </c>
    </row>
    <row r="92" spans="1:62" ht="12.75">
      <c r="A92" s="5" t="s">
        <v>38</v>
      </c>
      <c r="B92" s="5" t="s">
        <v>113</v>
      </c>
      <c r="C92" s="69" t="s">
        <v>219</v>
      </c>
      <c r="D92" s="70"/>
      <c r="E92" s="70"/>
      <c r="F92" s="5" t="s">
        <v>387</v>
      </c>
      <c r="G92" s="17">
        <v>1</v>
      </c>
      <c r="H92" s="17">
        <v>0</v>
      </c>
      <c r="I92" s="17">
        <f>G92*AO92</f>
        <v>0</v>
      </c>
      <c r="J92" s="17">
        <f>G92*AP92</f>
        <v>0</v>
      </c>
      <c r="K92" s="17">
        <f>G92*H92</f>
        <v>0</v>
      </c>
      <c r="L92" s="30" t="s">
        <v>407</v>
      </c>
      <c r="Z92" s="35">
        <f>IF(AQ92="5",BJ92,0)</f>
        <v>0</v>
      </c>
      <c r="AB92" s="35">
        <f>IF(AQ92="1",BH92,0)</f>
        <v>0</v>
      </c>
      <c r="AC92" s="35">
        <f>IF(AQ92="1",BI92,0)</f>
        <v>0</v>
      </c>
      <c r="AD92" s="35">
        <f>IF(AQ92="7",BH92,0)</f>
        <v>0</v>
      </c>
      <c r="AE92" s="35">
        <f>IF(AQ92="7",BI92,0)</f>
        <v>0</v>
      </c>
      <c r="AF92" s="35">
        <f>IF(AQ92="2",BH92,0)</f>
        <v>0</v>
      </c>
      <c r="AG92" s="35">
        <f>IF(AQ92="2",BI92,0)</f>
        <v>0</v>
      </c>
      <c r="AH92" s="35">
        <f>IF(AQ92="0",BJ92,0)</f>
        <v>0</v>
      </c>
      <c r="AI92" s="29" t="s">
        <v>418</v>
      </c>
      <c r="AJ92" s="17">
        <f>IF(AN92=0,K92,0)</f>
        <v>0</v>
      </c>
      <c r="AK92" s="17">
        <f>IF(AN92=15,K92,0)</f>
        <v>0</v>
      </c>
      <c r="AL92" s="17">
        <f>IF(AN92=21,K92,0)</f>
        <v>0</v>
      </c>
      <c r="AN92" s="35">
        <v>21</v>
      </c>
      <c r="AO92" s="35">
        <f>H92*0.213494208494208</f>
        <v>0</v>
      </c>
      <c r="AP92" s="35">
        <f>H92*(1-0.213494208494208)</f>
        <v>0</v>
      </c>
      <c r="AQ92" s="30" t="s">
        <v>7</v>
      </c>
      <c r="AV92" s="35">
        <f>AW92+AX92</f>
        <v>0</v>
      </c>
      <c r="AW92" s="35">
        <f>G92*AO92</f>
        <v>0</v>
      </c>
      <c r="AX92" s="35">
        <f>G92*AP92</f>
        <v>0</v>
      </c>
      <c r="AY92" s="36" t="s">
        <v>420</v>
      </c>
      <c r="AZ92" s="36" t="s">
        <v>442</v>
      </c>
      <c r="BA92" s="29" t="s">
        <v>450</v>
      </c>
      <c r="BC92" s="35">
        <f>AW92+AX92</f>
        <v>0</v>
      </c>
      <c r="BD92" s="35">
        <f>H92/(100-BE92)*100</f>
        <v>0</v>
      </c>
      <c r="BE92" s="35">
        <v>0</v>
      </c>
      <c r="BF92" s="35">
        <f>92</f>
        <v>92</v>
      </c>
      <c r="BH92" s="17">
        <f>G92*AO92</f>
        <v>0</v>
      </c>
      <c r="BI92" s="17">
        <f>G92*AP92</f>
        <v>0</v>
      </c>
      <c r="BJ92" s="17">
        <f>G92*H92</f>
        <v>0</v>
      </c>
    </row>
    <row r="93" spans="3:7" ht="12.75">
      <c r="C93" s="67" t="s">
        <v>220</v>
      </c>
      <c r="D93" s="68"/>
      <c r="E93" s="68"/>
      <c r="G93" s="18">
        <v>1</v>
      </c>
    </row>
    <row r="94" spans="1:62" ht="12.75">
      <c r="A94" s="5" t="s">
        <v>39</v>
      </c>
      <c r="B94" s="5" t="s">
        <v>114</v>
      </c>
      <c r="C94" s="69" t="s">
        <v>221</v>
      </c>
      <c r="D94" s="70"/>
      <c r="E94" s="70"/>
      <c r="F94" s="5" t="s">
        <v>387</v>
      </c>
      <c r="G94" s="17">
        <v>1</v>
      </c>
      <c r="H94" s="17">
        <v>0</v>
      </c>
      <c r="I94" s="17">
        <f>G94*AO94</f>
        <v>0</v>
      </c>
      <c r="J94" s="17">
        <f>G94*AP94</f>
        <v>0</v>
      </c>
      <c r="K94" s="17">
        <f>G94*H94</f>
        <v>0</v>
      </c>
      <c r="L94" s="30" t="s">
        <v>407</v>
      </c>
      <c r="Z94" s="35">
        <f>IF(AQ94="5",BJ94,0)</f>
        <v>0</v>
      </c>
      <c r="AB94" s="35">
        <f>IF(AQ94="1",BH94,0)</f>
        <v>0</v>
      </c>
      <c r="AC94" s="35">
        <f>IF(AQ94="1",BI94,0)</f>
        <v>0</v>
      </c>
      <c r="AD94" s="35">
        <f>IF(AQ94="7",BH94,0)</f>
        <v>0</v>
      </c>
      <c r="AE94" s="35">
        <f>IF(AQ94="7",BI94,0)</f>
        <v>0</v>
      </c>
      <c r="AF94" s="35">
        <f>IF(AQ94="2",BH94,0)</f>
        <v>0</v>
      </c>
      <c r="AG94" s="35">
        <f>IF(AQ94="2",BI94,0)</f>
        <v>0</v>
      </c>
      <c r="AH94" s="35">
        <f>IF(AQ94="0",BJ94,0)</f>
        <v>0</v>
      </c>
      <c r="AI94" s="29" t="s">
        <v>418</v>
      </c>
      <c r="AJ94" s="17">
        <f>IF(AN94=0,K94,0)</f>
        <v>0</v>
      </c>
      <c r="AK94" s="17">
        <f>IF(AN94=15,K94,0)</f>
        <v>0</v>
      </c>
      <c r="AL94" s="17">
        <f>IF(AN94=21,K94,0)</f>
        <v>0</v>
      </c>
      <c r="AN94" s="35">
        <v>21</v>
      </c>
      <c r="AO94" s="35">
        <f>H94*0.261901181525242</f>
        <v>0</v>
      </c>
      <c r="AP94" s="35">
        <f>H94*(1-0.261901181525242)</f>
        <v>0</v>
      </c>
      <c r="AQ94" s="30" t="s">
        <v>7</v>
      </c>
      <c r="AV94" s="35">
        <f>AW94+AX94</f>
        <v>0</v>
      </c>
      <c r="AW94" s="35">
        <f>G94*AO94</f>
        <v>0</v>
      </c>
      <c r="AX94" s="35">
        <f>G94*AP94</f>
        <v>0</v>
      </c>
      <c r="AY94" s="36" t="s">
        <v>420</v>
      </c>
      <c r="AZ94" s="36" t="s">
        <v>442</v>
      </c>
      <c r="BA94" s="29" t="s">
        <v>450</v>
      </c>
      <c r="BC94" s="35">
        <f>AW94+AX94</f>
        <v>0</v>
      </c>
      <c r="BD94" s="35">
        <f>H94/(100-BE94)*100</f>
        <v>0</v>
      </c>
      <c r="BE94" s="35">
        <v>0</v>
      </c>
      <c r="BF94" s="35">
        <f>94</f>
        <v>94</v>
      </c>
      <c r="BH94" s="17">
        <f>G94*AO94</f>
        <v>0</v>
      </c>
      <c r="BI94" s="17">
        <f>G94*AP94</f>
        <v>0</v>
      </c>
      <c r="BJ94" s="17">
        <f>G94*H94</f>
        <v>0</v>
      </c>
    </row>
    <row r="95" spans="3:7" ht="12.75">
      <c r="C95" s="67" t="s">
        <v>7</v>
      </c>
      <c r="D95" s="68"/>
      <c r="E95" s="68"/>
      <c r="G95" s="18">
        <v>1</v>
      </c>
    </row>
    <row r="96" spans="1:62" ht="12.75">
      <c r="A96" s="5" t="s">
        <v>40</v>
      </c>
      <c r="B96" s="5" t="s">
        <v>115</v>
      </c>
      <c r="C96" s="69" t="s">
        <v>222</v>
      </c>
      <c r="D96" s="70"/>
      <c r="E96" s="70"/>
      <c r="F96" s="5" t="s">
        <v>387</v>
      </c>
      <c r="G96" s="17">
        <v>1</v>
      </c>
      <c r="H96" s="17">
        <v>0</v>
      </c>
      <c r="I96" s="17">
        <f>G96*AO96</f>
        <v>0</v>
      </c>
      <c r="J96" s="17">
        <f>G96*AP96</f>
        <v>0</v>
      </c>
      <c r="K96" s="17">
        <f>G96*H96</f>
        <v>0</v>
      </c>
      <c r="L96" s="30" t="s">
        <v>407</v>
      </c>
      <c r="Z96" s="35">
        <f>IF(AQ96="5",BJ96,0)</f>
        <v>0</v>
      </c>
      <c r="AB96" s="35">
        <f>IF(AQ96="1",BH96,0)</f>
        <v>0</v>
      </c>
      <c r="AC96" s="35">
        <f>IF(AQ96="1",BI96,0)</f>
        <v>0</v>
      </c>
      <c r="AD96" s="35">
        <f>IF(AQ96="7",BH96,0)</f>
        <v>0</v>
      </c>
      <c r="AE96" s="35">
        <f>IF(AQ96="7",BI96,0)</f>
        <v>0</v>
      </c>
      <c r="AF96" s="35">
        <f>IF(AQ96="2",BH96,0)</f>
        <v>0</v>
      </c>
      <c r="AG96" s="35">
        <f>IF(AQ96="2",BI96,0)</f>
        <v>0</v>
      </c>
      <c r="AH96" s="35">
        <f>IF(AQ96="0",BJ96,0)</f>
        <v>0</v>
      </c>
      <c r="AI96" s="29" t="s">
        <v>418</v>
      </c>
      <c r="AJ96" s="17">
        <f>IF(AN96=0,K96,0)</f>
        <v>0</v>
      </c>
      <c r="AK96" s="17">
        <f>IF(AN96=15,K96,0)</f>
        <v>0</v>
      </c>
      <c r="AL96" s="17">
        <f>IF(AN96=21,K96,0)</f>
        <v>0</v>
      </c>
      <c r="AN96" s="35">
        <v>21</v>
      </c>
      <c r="AO96" s="35">
        <f>H96*0.298941009239517</f>
        <v>0</v>
      </c>
      <c r="AP96" s="35">
        <f>H96*(1-0.298941009239517)</f>
        <v>0</v>
      </c>
      <c r="AQ96" s="30" t="s">
        <v>7</v>
      </c>
      <c r="AV96" s="35">
        <f>AW96+AX96</f>
        <v>0</v>
      </c>
      <c r="AW96" s="35">
        <f>G96*AO96</f>
        <v>0</v>
      </c>
      <c r="AX96" s="35">
        <f>G96*AP96</f>
        <v>0</v>
      </c>
      <c r="AY96" s="36" t="s">
        <v>420</v>
      </c>
      <c r="AZ96" s="36" t="s">
        <v>442</v>
      </c>
      <c r="BA96" s="29" t="s">
        <v>450</v>
      </c>
      <c r="BC96" s="35">
        <f>AW96+AX96</f>
        <v>0</v>
      </c>
      <c r="BD96" s="35">
        <f>H96/(100-BE96)*100</f>
        <v>0</v>
      </c>
      <c r="BE96" s="35">
        <v>0</v>
      </c>
      <c r="BF96" s="35">
        <f>96</f>
        <v>96</v>
      </c>
      <c r="BH96" s="17">
        <f>G96*AO96</f>
        <v>0</v>
      </c>
      <c r="BI96" s="17">
        <f>G96*AP96</f>
        <v>0</v>
      </c>
      <c r="BJ96" s="17">
        <f>G96*H96</f>
        <v>0</v>
      </c>
    </row>
    <row r="97" spans="3:7" ht="12.75">
      <c r="C97" s="67" t="s">
        <v>7</v>
      </c>
      <c r="D97" s="68"/>
      <c r="E97" s="68"/>
      <c r="G97" s="18">
        <v>1</v>
      </c>
    </row>
    <row r="98" spans="1:62" ht="12.75">
      <c r="A98" s="5" t="s">
        <v>41</v>
      </c>
      <c r="B98" s="5" t="s">
        <v>116</v>
      </c>
      <c r="C98" s="69" t="s">
        <v>223</v>
      </c>
      <c r="D98" s="70"/>
      <c r="E98" s="70"/>
      <c r="F98" s="5" t="s">
        <v>387</v>
      </c>
      <c r="G98" s="17">
        <v>1</v>
      </c>
      <c r="H98" s="17">
        <v>0</v>
      </c>
      <c r="I98" s="17">
        <f>G98*AO98</f>
        <v>0</v>
      </c>
      <c r="J98" s="17">
        <f>G98*AP98</f>
        <v>0</v>
      </c>
      <c r="K98" s="17">
        <f>G98*H98</f>
        <v>0</v>
      </c>
      <c r="L98" s="30" t="s">
        <v>407</v>
      </c>
      <c r="Z98" s="35">
        <f>IF(AQ98="5",BJ98,0)</f>
        <v>0</v>
      </c>
      <c r="AB98" s="35">
        <f>IF(AQ98="1",BH98,0)</f>
        <v>0</v>
      </c>
      <c r="AC98" s="35">
        <f>IF(AQ98="1",BI98,0)</f>
        <v>0</v>
      </c>
      <c r="AD98" s="35">
        <f>IF(AQ98="7",BH98,0)</f>
        <v>0</v>
      </c>
      <c r="AE98" s="35">
        <f>IF(AQ98="7",BI98,0)</f>
        <v>0</v>
      </c>
      <c r="AF98" s="35">
        <f>IF(AQ98="2",BH98,0)</f>
        <v>0</v>
      </c>
      <c r="AG98" s="35">
        <f>IF(AQ98="2",BI98,0)</f>
        <v>0</v>
      </c>
      <c r="AH98" s="35">
        <f>IF(AQ98="0",BJ98,0)</f>
        <v>0</v>
      </c>
      <c r="AI98" s="29" t="s">
        <v>418</v>
      </c>
      <c r="AJ98" s="17">
        <f>IF(AN98=0,K98,0)</f>
        <v>0</v>
      </c>
      <c r="AK98" s="17">
        <f>IF(AN98=15,K98,0)</f>
        <v>0</v>
      </c>
      <c r="AL98" s="17">
        <f>IF(AN98=21,K98,0)</f>
        <v>0</v>
      </c>
      <c r="AN98" s="35">
        <v>21</v>
      </c>
      <c r="AO98" s="35">
        <f>H98*0.288556769051794</f>
        <v>0</v>
      </c>
      <c r="AP98" s="35">
        <f>H98*(1-0.288556769051794)</f>
        <v>0</v>
      </c>
      <c r="AQ98" s="30" t="s">
        <v>7</v>
      </c>
      <c r="AV98" s="35">
        <f>AW98+AX98</f>
        <v>0</v>
      </c>
      <c r="AW98" s="35">
        <f>G98*AO98</f>
        <v>0</v>
      </c>
      <c r="AX98" s="35">
        <f>G98*AP98</f>
        <v>0</v>
      </c>
      <c r="AY98" s="36" t="s">
        <v>420</v>
      </c>
      <c r="AZ98" s="36" t="s">
        <v>442</v>
      </c>
      <c r="BA98" s="29" t="s">
        <v>450</v>
      </c>
      <c r="BC98" s="35">
        <f>AW98+AX98</f>
        <v>0</v>
      </c>
      <c r="BD98" s="35">
        <f>H98/(100-BE98)*100</f>
        <v>0</v>
      </c>
      <c r="BE98" s="35">
        <v>0</v>
      </c>
      <c r="BF98" s="35">
        <f>98</f>
        <v>98</v>
      </c>
      <c r="BH98" s="17">
        <f>G98*AO98</f>
        <v>0</v>
      </c>
      <c r="BI98" s="17">
        <f>G98*AP98</f>
        <v>0</v>
      </c>
      <c r="BJ98" s="17">
        <f>G98*H98</f>
        <v>0</v>
      </c>
    </row>
    <row r="99" spans="3:7" ht="12.75">
      <c r="C99" s="67" t="s">
        <v>7</v>
      </c>
      <c r="D99" s="68"/>
      <c r="E99" s="68"/>
      <c r="G99" s="18">
        <v>1</v>
      </c>
    </row>
    <row r="100" spans="1:62" ht="12.75">
      <c r="A100" s="5" t="s">
        <v>42</v>
      </c>
      <c r="B100" s="5" t="s">
        <v>117</v>
      </c>
      <c r="C100" s="69" t="s">
        <v>224</v>
      </c>
      <c r="D100" s="70"/>
      <c r="E100" s="70"/>
      <c r="F100" s="5" t="s">
        <v>387</v>
      </c>
      <c r="G100" s="17">
        <v>1</v>
      </c>
      <c r="H100" s="17">
        <v>0</v>
      </c>
      <c r="I100" s="17">
        <f>G100*AO100</f>
        <v>0</v>
      </c>
      <c r="J100" s="17">
        <f>G100*AP100</f>
        <v>0</v>
      </c>
      <c r="K100" s="17">
        <f>G100*H100</f>
        <v>0</v>
      </c>
      <c r="L100" s="30" t="s">
        <v>407</v>
      </c>
      <c r="Z100" s="35">
        <f>IF(AQ100="5",BJ100,0)</f>
        <v>0</v>
      </c>
      <c r="AB100" s="35">
        <f>IF(AQ100="1",BH100,0)</f>
        <v>0</v>
      </c>
      <c r="AC100" s="35">
        <f>IF(AQ100="1",BI100,0)</f>
        <v>0</v>
      </c>
      <c r="AD100" s="35">
        <f>IF(AQ100="7",BH100,0)</f>
        <v>0</v>
      </c>
      <c r="AE100" s="35">
        <f>IF(AQ100="7",BI100,0)</f>
        <v>0</v>
      </c>
      <c r="AF100" s="35">
        <f>IF(AQ100="2",BH100,0)</f>
        <v>0</v>
      </c>
      <c r="AG100" s="35">
        <f>IF(AQ100="2",BI100,0)</f>
        <v>0</v>
      </c>
      <c r="AH100" s="35">
        <f>IF(AQ100="0",BJ100,0)</f>
        <v>0</v>
      </c>
      <c r="AI100" s="29" t="s">
        <v>418</v>
      </c>
      <c r="AJ100" s="17">
        <f>IF(AN100=0,K100,0)</f>
        <v>0</v>
      </c>
      <c r="AK100" s="17">
        <f>IF(AN100=15,K100,0)</f>
        <v>0</v>
      </c>
      <c r="AL100" s="17">
        <f>IF(AN100=21,K100,0)</f>
        <v>0</v>
      </c>
      <c r="AN100" s="35">
        <v>21</v>
      </c>
      <c r="AO100" s="35">
        <f>H100*0.272247636474535</f>
        <v>0</v>
      </c>
      <c r="AP100" s="35">
        <f>H100*(1-0.272247636474535)</f>
        <v>0</v>
      </c>
      <c r="AQ100" s="30" t="s">
        <v>7</v>
      </c>
      <c r="AV100" s="35">
        <f>AW100+AX100</f>
        <v>0</v>
      </c>
      <c r="AW100" s="35">
        <f>G100*AO100</f>
        <v>0</v>
      </c>
      <c r="AX100" s="35">
        <f>G100*AP100</f>
        <v>0</v>
      </c>
      <c r="AY100" s="36" t="s">
        <v>420</v>
      </c>
      <c r="AZ100" s="36" t="s">
        <v>442</v>
      </c>
      <c r="BA100" s="29" t="s">
        <v>450</v>
      </c>
      <c r="BC100" s="35">
        <f>AW100+AX100</f>
        <v>0</v>
      </c>
      <c r="BD100" s="35">
        <f>H100/(100-BE100)*100</f>
        <v>0</v>
      </c>
      <c r="BE100" s="35">
        <v>0</v>
      </c>
      <c r="BF100" s="35">
        <f>100</f>
        <v>100</v>
      </c>
      <c r="BH100" s="17">
        <f>G100*AO100</f>
        <v>0</v>
      </c>
      <c r="BI100" s="17">
        <f>G100*AP100</f>
        <v>0</v>
      </c>
      <c r="BJ100" s="17">
        <f>G100*H100</f>
        <v>0</v>
      </c>
    </row>
    <row r="101" spans="3:7" ht="12.75">
      <c r="C101" s="67" t="s">
        <v>7</v>
      </c>
      <c r="D101" s="68"/>
      <c r="E101" s="68"/>
      <c r="G101" s="18">
        <v>1</v>
      </c>
    </row>
    <row r="102" spans="1:62" ht="12.75">
      <c r="A102" s="5" t="s">
        <v>43</v>
      </c>
      <c r="B102" s="5" t="s">
        <v>118</v>
      </c>
      <c r="C102" s="69" t="s">
        <v>225</v>
      </c>
      <c r="D102" s="70"/>
      <c r="E102" s="70"/>
      <c r="F102" s="5" t="s">
        <v>387</v>
      </c>
      <c r="G102" s="17">
        <v>1</v>
      </c>
      <c r="H102" s="17">
        <v>0</v>
      </c>
      <c r="I102" s="17">
        <f>G102*AO102</f>
        <v>0</v>
      </c>
      <c r="J102" s="17">
        <f>G102*AP102</f>
        <v>0</v>
      </c>
      <c r="K102" s="17">
        <f>G102*H102</f>
        <v>0</v>
      </c>
      <c r="L102" s="30" t="s">
        <v>407</v>
      </c>
      <c r="Z102" s="35">
        <f>IF(AQ102="5",BJ102,0)</f>
        <v>0</v>
      </c>
      <c r="AB102" s="35">
        <f>IF(AQ102="1",BH102,0)</f>
        <v>0</v>
      </c>
      <c r="AC102" s="35">
        <f>IF(AQ102="1",BI102,0)</f>
        <v>0</v>
      </c>
      <c r="AD102" s="35">
        <f>IF(AQ102="7",BH102,0)</f>
        <v>0</v>
      </c>
      <c r="AE102" s="35">
        <f>IF(AQ102="7",BI102,0)</f>
        <v>0</v>
      </c>
      <c r="AF102" s="35">
        <f>IF(AQ102="2",BH102,0)</f>
        <v>0</v>
      </c>
      <c r="AG102" s="35">
        <f>IF(AQ102="2",BI102,0)</f>
        <v>0</v>
      </c>
      <c r="AH102" s="35">
        <f>IF(AQ102="0",BJ102,0)</f>
        <v>0</v>
      </c>
      <c r="AI102" s="29" t="s">
        <v>418</v>
      </c>
      <c r="AJ102" s="17">
        <f>IF(AN102=0,K102,0)</f>
        <v>0</v>
      </c>
      <c r="AK102" s="17">
        <f>IF(AN102=15,K102,0)</f>
        <v>0</v>
      </c>
      <c r="AL102" s="17">
        <f>IF(AN102=21,K102,0)</f>
        <v>0</v>
      </c>
      <c r="AN102" s="35">
        <v>21</v>
      </c>
      <c r="AO102" s="35">
        <f>H102*0.244834143976478</f>
        <v>0</v>
      </c>
      <c r="AP102" s="35">
        <f>H102*(1-0.244834143976478)</f>
        <v>0</v>
      </c>
      <c r="AQ102" s="30" t="s">
        <v>7</v>
      </c>
      <c r="AV102" s="35">
        <f>AW102+AX102</f>
        <v>0</v>
      </c>
      <c r="AW102" s="35">
        <f>G102*AO102</f>
        <v>0</v>
      </c>
      <c r="AX102" s="35">
        <f>G102*AP102</f>
        <v>0</v>
      </c>
      <c r="AY102" s="36" t="s">
        <v>420</v>
      </c>
      <c r="AZ102" s="36" t="s">
        <v>442</v>
      </c>
      <c r="BA102" s="29" t="s">
        <v>450</v>
      </c>
      <c r="BC102" s="35">
        <f>AW102+AX102</f>
        <v>0</v>
      </c>
      <c r="BD102" s="35">
        <f>H102/(100-BE102)*100</f>
        <v>0</v>
      </c>
      <c r="BE102" s="35">
        <v>0</v>
      </c>
      <c r="BF102" s="35">
        <f>102</f>
        <v>102</v>
      </c>
      <c r="BH102" s="17">
        <f>G102*AO102</f>
        <v>0</v>
      </c>
      <c r="BI102" s="17">
        <f>G102*AP102</f>
        <v>0</v>
      </c>
      <c r="BJ102" s="17">
        <f>G102*H102</f>
        <v>0</v>
      </c>
    </row>
    <row r="103" spans="3:7" ht="12.75">
      <c r="C103" s="67" t="s">
        <v>7</v>
      </c>
      <c r="D103" s="68"/>
      <c r="E103" s="68"/>
      <c r="G103" s="18">
        <v>1</v>
      </c>
    </row>
    <row r="104" spans="1:62" ht="12.75">
      <c r="A104" s="5" t="s">
        <v>44</v>
      </c>
      <c r="B104" s="5" t="s">
        <v>119</v>
      </c>
      <c r="C104" s="69" t="s">
        <v>226</v>
      </c>
      <c r="D104" s="70"/>
      <c r="E104" s="70"/>
      <c r="F104" s="5" t="s">
        <v>387</v>
      </c>
      <c r="G104" s="17">
        <v>1</v>
      </c>
      <c r="H104" s="17">
        <v>0</v>
      </c>
      <c r="I104" s="17">
        <f>G104*AO104</f>
        <v>0</v>
      </c>
      <c r="J104" s="17">
        <f>G104*AP104</f>
        <v>0</v>
      </c>
      <c r="K104" s="17">
        <f>G104*H104</f>
        <v>0</v>
      </c>
      <c r="L104" s="30" t="s">
        <v>407</v>
      </c>
      <c r="Z104" s="35">
        <f>IF(AQ104="5",BJ104,0)</f>
        <v>0</v>
      </c>
      <c r="AB104" s="35">
        <f>IF(AQ104="1",BH104,0)</f>
        <v>0</v>
      </c>
      <c r="AC104" s="35">
        <f>IF(AQ104="1",BI104,0)</f>
        <v>0</v>
      </c>
      <c r="AD104" s="35">
        <f>IF(AQ104="7",BH104,0)</f>
        <v>0</v>
      </c>
      <c r="AE104" s="35">
        <f>IF(AQ104="7",BI104,0)</f>
        <v>0</v>
      </c>
      <c r="AF104" s="35">
        <f>IF(AQ104="2",BH104,0)</f>
        <v>0</v>
      </c>
      <c r="AG104" s="35">
        <f>IF(AQ104="2",BI104,0)</f>
        <v>0</v>
      </c>
      <c r="AH104" s="35">
        <f>IF(AQ104="0",BJ104,0)</f>
        <v>0</v>
      </c>
      <c r="AI104" s="29" t="s">
        <v>418</v>
      </c>
      <c r="AJ104" s="17">
        <f>IF(AN104=0,K104,0)</f>
        <v>0</v>
      </c>
      <c r="AK104" s="17">
        <f>IF(AN104=15,K104,0)</f>
        <v>0</v>
      </c>
      <c r="AL104" s="17">
        <f>IF(AN104=21,K104,0)</f>
        <v>0</v>
      </c>
      <c r="AN104" s="35">
        <v>21</v>
      </c>
      <c r="AO104" s="35">
        <f>H104*0.284815718639059</f>
        <v>0</v>
      </c>
      <c r="AP104" s="35">
        <f>H104*(1-0.284815718639059)</f>
        <v>0</v>
      </c>
      <c r="AQ104" s="30" t="s">
        <v>7</v>
      </c>
      <c r="AV104" s="35">
        <f>AW104+AX104</f>
        <v>0</v>
      </c>
      <c r="AW104" s="35">
        <f>G104*AO104</f>
        <v>0</v>
      </c>
      <c r="AX104" s="35">
        <f>G104*AP104</f>
        <v>0</v>
      </c>
      <c r="AY104" s="36" t="s">
        <v>420</v>
      </c>
      <c r="AZ104" s="36" t="s">
        <v>442</v>
      </c>
      <c r="BA104" s="29" t="s">
        <v>450</v>
      </c>
      <c r="BC104" s="35">
        <f>AW104+AX104</f>
        <v>0</v>
      </c>
      <c r="BD104" s="35">
        <f>H104/(100-BE104)*100</f>
        <v>0</v>
      </c>
      <c r="BE104" s="35">
        <v>0</v>
      </c>
      <c r="BF104" s="35">
        <f>104</f>
        <v>104</v>
      </c>
      <c r="BH104" s="17">
        <f>G104*AO104</f>
        <v>0</v>
      </c>
      <c r="BI104" s="17">
        <f>G104*AP104</f>
        <v>0</v>
      </c>
      <c r="BJ104" s="17">
        <f>G104*H104</f>
        <v>0</v>
      </c>
    </row>
    <row r="105" spans="3:7" ht="12.75">
      <c r="C105" s="67" t="s">
        <v>7</v>
      </c>
      <c r="D105" s="68"/>
      <c r="E105" s="68"/>
      <c r="G105" s="18">
        <v>1</v>
      </c>
    </row>
    <row r="106" spans="1:62" ht="12.75">
      <c r="A106" s="5" t="s">
        <v>45</v>
      </c>
      <c r="B106" s="5" t="s">
        <v>120</v>
      </c>
      <c r="C106" s="69" t="s">
        <v>227</v>
      </c>
      <c r="D106" s="70"/>
      <c r="E106" s="70"/>
      <c r="F106" s="5" t="s">
        <v>387</v>
      </c>
      <c r="G106" s="17">
        <v>1</v>
      </c>
      <c r="H106" s="17">
        <v>0</v>
      </c>
      <c r="I106" s="17">
        <f>G106*AO106</f>
        <v>0</v>
      </c>
      <c r="J106" s="17">
        <f>G106*AP106</f>
        <v>0</v>
      </c>
      <c r="K106" s="17">
        <f>G106*H106</f>
        <v>0</v>
      </c>
      <c r="L106" s="30" t="s">
        <v>407</v>
      </c>
      <c r="Z106" s="35">
        <f>IF(AQ106="5",BJ106,0)</f>
        <v>0</v>
      </c>
      <c r="AB106" s="35">
        <f>IF(AQ106="1",BH106,0)</f>
        <v>0</v>
      </c>
      <c r="AC106" s="35">
        <f>IF(AQ106="1",BI106,0)</f>
        <v>0</v>
      </c>
      <c r="AD106" s="35">
        <f>IF(AQ106="7",BH106,0)</f>
        <v>0</v>
      </c>
      <c r="AE106" s="35">
        <f>IF(AQ106="7",BI106,0)</f>
        <v>0</v>
      </c>
      <c r="AF106" s="35">
        <f>IF(AQ106="2",BH106,0)</f>
        <v>0</v>
      </c>
      <c r="AG106" s="35">
        <f>IF(AQ106="2",BI106,0)</f>
        <v>0</v>
      </c>
      <c r="AH106" s="35">
        <f>IF(AQ106="0",BJ106,0)</f>
        <v>0</v>
      </c>
      <c r="AI106" s="29" t="s">
        <v>418</v>
      </c>
      <c r="AJ106" s="17">
        <f>IF(AN106=0,K106,0)</f>
        <v>0</v>
      </c>
      <c r="AK106" s="17">
        <f>IF(AN106=15,K106,0)</f>
        <v>0</v>
      </c>
      <c r="AL106" s="17">
        <f>IF(AN106=21,K106,0)</f>
        <v>0</v>
      </c>
      <c r="AN106" s="35">
        <v>21</v>
      </c>
      <c r="AO106" s="35">
        <f>H106*0.272896857528436</f>
        <v>0</v>
      </c>
      <c r="AP106" s="35">
        <f>H106*(1-0.272896857528436)</f>
        <v>0</v>
      </c>
      <c r="AQ106" s="30" t="s">
        <v>7</v>
      </c>
      <c r="AV106" s="35">
        <f>AW106+AX106</f>
        <v>0</v>
      </c>
      <c r="AW106" s="35">
        <f>G106*AO106</f>
        <v>0</v>
      </c>
      <c r="AX106" s="35">
        <f>G106*AP106</f>
        <v>0</v>
      </c>
      <c r="AY106" s="36" t="s">
        <v>420</v>
      </c>
      <c r="AZ106" s="36" t="s">
        <v>442</v>
      </c>
      <c r="BA106" s="29" t="s">
        <v>450</v>
      </c>
      <c r="BC106" s="35">
        <f>AW106+AX106</f>
        <v>0</v>
      </c>
      <c r="BD106" s="35">
        <f>H106/(100-BE106)*100</f>
        <v>0</v>
      </c>
      <c r="BE106" s="35">
        <v>0</v>
      </c>
      <c r="BF106" s="35">
        <f>106</f>
        <v>106</v>
      </c>
      <c r="BH106" s="17">
        <f>G106*AO106</f>
        <v>0</v>
      </c>
      <c r="BI106" s="17">
        <f>G106*AP106</f>
        <v>0</v>
      </c>
      <c r="BJ106" s="17">
        <f>G106*H106</f>
        <v>0</v>
      </c>
    </row>
    <row r="107" spans="3:7" ht="12.75">
      <c r="C107" s="67" t="s">
        <v>7</v>
      </c>
      <c r="D107" s="68"/>
      <c r="E107" s="68"/>
      <c r="G107" s="18">
        <v>1</v>
      </c>
    </row>
    <row r="108" spans="1:62" ht="12.75">
      <c r="A108" s="5" t="s">
        <v>46</v>
      </c>
      <c r="B108" s="5" t="s">
        <v>121</v>
      </c>
      <c r="C108" s="69" t="s">
        <v>228</v>
      </c>
      <c r="D108" s="70"/>
      <c r="E108" s="70"/>
      <c r="F108" s="5" t="s">
        <v>387</v>
      </c>
      <c r="G108" s="17">
        <v>1</v>
      </c>
      <c r="H108" s="17">
        <v>0</v>
      </c>
      <c r="I108" s="17">
        <f>G108*AO108</f>
        <v>0</v>
      </c>
      <c r="J108" s="17">
        <f>G108*AP108</f>
        <v>0</v>
      </c>
      <c r="K108" s="17">
        <f>G108*H108</f>
        <v>0</v>
      </c>
      <c r="L108" s="30" t="s">
        <v>407</v>
      </c>
      <c r="Z108" s="35">
        <f>IF(AQ108="5",BJ108,0)</f>
        <v>0</v>
      </c>
      <c r="AB108" s="35">
        <f>IF(AQ108="1",BH108,0)</f>
        <v>0</v>
      </c>
      <c r="AC108" s="35">
        <f>IF(AQ108="1",BI108,0)</f>
        <v>0</v>
      </c>
      <c r="AD108" s="35">
        <f>IF(AQ108="7",BH108,0)</f>
        <v>0</v>
      </c>
      <c r="AE108" s="35">
        <f>IF(AQ108="7",BI108,0)</f>
        <v>0</v>
      </c>
      <c r="AF108" s="35">
        <f>IF(AQ108="2",BH108,0)</f>
        <v>0</v>
      </c>
      <c r="AG108" s="35">
        <f>IF(AQ108="2",BI108,0)</f>
        <v>0</v>
      </c>
      <c r="AH108" s="35">
        <f>IF(AQ108="0",BJ108,0)</f>
        <v>0</v>
      </c>
      <c r="AI108" s="29" t="s">
        <v>418</v>
      </c>
      <c r="AJ108" s="17">
        <f>IF(AN108=0,K108,0)</f>
        <v>0</v>
      </c>
      <c r="AK108" s="17">
        <f>IF(AN108=15,K108,0)</f>
        <v>0</v>
      </c>
      <c r="AL108" s="17">
        <f>IF(AN108=21,K108,0)</f>
        <v>0</v>
      </c>
      <c r="AN108" s="35">
        <v>21</v>
      </c>
      <c r="AO108" s="35">
        <f>H108*0.252953154492936</f>
        <v>0</v>
      </c>
      <c r="AP108" s="35">
        <f>H108*(1-0.252953154492936)</f>
        <v>0</v>
      </c>
      <c r="AQ108" s="30" t="s">
        <v>7</v>
      </c>
      <c r="AV108" s="35">
        <f>AW108+AX108</f>
        <v>0</v>
      </c>
      <c r="AW108" s="35">
        <f>G108*AO108</f>
        <v>0</v>
      </c>
      <c r="AX108" s="35">
        <f>G108*AP108</f>
        <v>0</v>
      </c>
      <c r="AY108" s="36" t="s">
        <v>420</v>
      </c>
      <c r="AZ108" s="36" t="s">
        <v>442</v>
      </c>
      <c r="BA108" s="29" t="s">
        <v>450</v>
      </c>
      <c r="BC108" s="35">
        <f>AW108+AX108</f>
        <v>0</v>
      </c>
      <c r="BD108" s="35">
        <f>H108/(100-BE108)*100</f>
        <v>0</v>
      </c>
      <c r="BE108" s="35">
        <v>0</v>
      </c>
      <c r="BF108" s="35">
        <f>108</f>
        <v>108</v>
      </c>
      <c r="BH108" s="17">
        <f>G108*AO108</f>
        <v>0</v>
      </c>
      <c r="BI108" s="17">
        <f>G108*AP108</f>
        <v>0</v>
      </c>
      <c r="BJ108" s="17">
        <f>G108*H108</f>
        <v>0</v>
      </c>
    </row>
    <row r="109" spans="3:7" ht="12.75">
      <c r="C109" s="67" t="s">
        <v>7</v>
      </c>
      <c r="D109" s="68"/>
      <c r="E109" s="68"/>
      <c r="G109" s="18">
        <v>1</v>
      </c>
    </row>
    <row r="110" spans="1:62" ht="12.75">
      <c r="A110" s="5" t="s">
        <v>47</v>
      </c>
      <c r="B110" s="5" t="s">
        <v>122</v>
      </c>
      <c r="C110" s="69" t="s">
        <v>229</v>
      </c>
      <c r="D110" s="70"/>
      <c r="E110" s="70"/>
      <c r="F110" s="5" t="s">
        <v>387</v>
      </c>
      <c r="G110" s="17">
        <v>1</v>
      </c>
      <c r="H110" s="17">
        <v>0</v>
      </c>
      <c r="I110" s="17">
        <f>G110*AO110</f>
        <v>0</v>
      </c>
      <c r="J110" s="17">
        <f>G110*AP110</f>
        <v>0</v>
      </c>
      <c r="K110" s="17">
        <f>G110*H110</f>
        <v>0</v>
      </c>
      <c r="L110" s="30" t="s">
        <v>407</v>
      </c>
      <c r="Z110" s="35">
        <f>IF(AQ110="5",BJ110,0)</f>
        <v>0</v>
      </c>
      <c r="AB110" s="35">
        <f>IF(AQ110="1",BH110,0)</f>
        <v>0</v>
      </c>
      <c r="AC110" s="35">
        <f>IF(AQ110="1",BI110,0)</f>
        <v>0</v>
      </c>
      <c r="AD110" s="35">
        <f>IF(AQ110="7",BH110,0)</f>
        <v>0</v>
      </c>
      <c r="AE110" s="35">
        <f>IF(AQ110="7",BI110,0)</f>
        <v>0</v>
      </c>
      <c r="AF110" s="35">
        <f>IF(AQ110="2",BH110,0)</f>
        <v>0</v>
      </c>
      <c r="AG110" s="35">
        <f>IF(AQ110="2",BI110,0)</f>
        <v>0</v>
      </c>
      <c r="AH110" s="35">
        <f>IF(AQ110="0",BJ110,0)</f>
        <v>0</v>
      </c>
      <c r="AI110" s="29" t="s">
        <v>418</v>
      </c>
      <c r="AJ110" s="17">
        <f>IF(AN110=0,K110,0)</f>
        <v>0</v>
      </c>
      <c r="AK110" s="17">
        <f>IF(AN110=15,K110,0)</f>
        <v>0</v>
      </c>
      <c r="AL110" s="17">
        <f>IF(AN110=21,K110,0)</f>
        <v>0</v>
      </c>
      <c r="AN110" s="35">
        <v>21</v>
      </c>
      <c r="AO110" s="35">
        <f>H110*0.164038917892739</f>
        <v>0</v>
      </c>
      <c r="AP110" s="35">
        <f>H110*(1-0.164038917892739)</f>
        <v>0</v>
      </c>
      <c r="AQ110" s="30" t="s">
        <v>7</v>
      </c>
      <c r="AV110" s="35">
        <f>AW110+AX110</f>
        <v>0</v>
      </c>
      <c r="AW110" s="35">
        <f>G110*AO110</f>
        <v>0</v>
      </c>
      <c r="AX110" s="35">
        <f>G110*AP110</f>
        <v>0</v>
      </c>
      <c r="AY110" s="36" t="s">
        <v>420</v>
      </c>
      <c r="AZ110" s="36" t="s">
        <v>442</v>
      </c>
      <c r="BA110" s="29" t="s">
        <v>450</v>
      </c>
      <c r="BC110" s="35">
        <f>AW110+AX110</f>
        <v>0</v>
      </c>
      <c r="BD110" s="35">
        <f>H110/(100-BE110)*100</f>
        <v>0</v>
      </c>
      <c r="BE110" s="35">
        <v>0</v>
      </c>
      <c r="BF110" s="35">
        <f>110</f>
        <v>110</v>
      </c>
      <c r="BH110" s="17">
        <f>G110*AO110</f>
        <v>0</v>
      </c>
      <c r="BI110" s="17">
        <f>G110*AP110</f>
        <v>0</v>
      </c>
      <c r="BJ110" s="17">
        <f>G110*H110</f>
        <v>0</v>
      </c>
    </row>
    <row r="111" spans="3:7" ht="12.75">
      <c r="C111" s="67" t="s">
        <v>7</v>
      </c>
      <c r="D111" s="68"/>
      <c r="E111" s="68"/>
      <c r="G111" s="18">
        <v>1</v>
      </c>
    </row>
    <row r="112" spans="1:62" ht="12.75">
      <c r="A112" s="5" t="s">
        <v>48</v>
      </c>
      <c r="B112" s="5" t="s">
        <v>123</v>
      </c>
      <c r="C112" s="69" t="s">
        <v>230</v>
      </c>
      <c r="D112" s="70"/>
      <c r="E112" s="70"/>
      <c r="F112" s="5" t="s">
        <v>388</v>
      </c>
      <c r="G112" s="17">
        <v>1</v>
      </c>
      <c r="H112" s="17">
        <v>0</v>
      </c>
      <c r="I112" s="17">
        <f>G112*AO112</f>
        <v>0</v>
      </c>
      <c r="J112" s="17">
        <f>G112*AP112</f>
        <v>0</v>
      </c>
      <c r="K112" s="17">
        <f>G112*H112</f>
        <v>0</v>
      </c>
      <c r="L112" s="30" t="s">
        <v>407</v>
      </c>
      <c r="Z112" s="35">
        <f>IF(AQ112="5",BJ112,0)</f>
        <v>0</v>
      </c>
      <c r="AB112" s="35">
        <f>IF(AQ112="1",BH112,0)</f>
        <v>0</v>
      </c>
      <c r="AC112" s="35">
        <f>IF(AQ112="1",BI112,0)</f>
        <v>0</v>
      </c>
      <c r="AD112" s="35">
        <f>IF(AQ112="7",BH112,0)</f>
        <v>0</v>
      </c>
      <c r="AE112" s="35">
        <f>IF(AQ112="7",BI112,0)</f>
        <v>0</v>
      </c>
      <c r="AF112" s="35">
        <f>IF(AQ112="2",BH112,0)</f>
        <v>0</v>
      </c>
      <c r="AG112" s="35">
        <f>IF(AQ112="2",BI112,0)</f>
        <v>0</v>
      </c>
      <c r="AH112" s="35">
        <f>IF(AQ112="0",BJ112,0)</f>
        <v>0</v>
      </c>
      <c r="AI112" s="29" t="s">
        <v>418</v>
      </c>
      <c r="AJ112" s="17">
        <f>IF(AN112=0,K112,0)</f>
        <v>0</v>
      </c>
      <c r="AK112" s="17">
        <f>IF(AN112=15,K112,0)</f>
        <v>0</v>
      </c>
      <c r="AL112" s="17">
        <f>IF(AN112=21,K112,0)</f>
        <v>0</v>
      </c>
      <c r="AN112" s="35">
        <v>21</v>
      </c>
      <c r="AO112" s="35">
        <f>H112*0.141315416666667</f>
        <v>0</v>
      </c>
      <c r="AP112" s="35">
        <f>H112*(1-0.141315416666667)</f>
        <v>0</v>
      </c>
      <c r="AQ112" s="30" t="s">
        <v>7</v>
      </c>
      <c r="AV112" s="35">
        <f>AW112+AX112</f>
        <v>0</v>
      </c>
      <c r="AW112" s="35">
        <f>G112*AO112</f>
        <v>0</v>
      </c>
      <c r="AX112" s="35">
        <f>G112*AP112</f>
        <v>0</v>
      </c>
      <c r="AY112" s="36" t="s">
        <v>420</v>
      </c>
      <c r="AZ112" s="36" t="s">
        <v>442</v>
      </c>
      <c r="BA112" s="29" t="s">
        <v>450</v>
      </c>
      <c r="BC112" s="35">
        <f>AW112+AX112</f>
        <v>0</v>
      </c>
      <c r="BD112" s="35">
        <f>H112/(100-BE112)*100</f>
        <v>0</v>
      </c>
      <c r="BE112" s="35">
        <v>0</v>
      </c>
      <c r="BF112" s="35">
        <f>112</f>
        <v>112</v>
      </c>
      <c r="BH112" s="17">
        <f>G112*AO112</f>
        <v>0</v>
      </c>
      <c r="BI112" s="17">
        <f>G112*AP112</f>
        <v>0</v>
      </c>
      <c r="BJ112" s="17">
        <f>G112*H112</f>
        <v>0</v>
      </c>
    </row>
    <row r="113" spans="3:7" ht="12.75">
      <c r="C113" s="67" t="s">
        <v>7</v>
      </c>
      <c r="D113" s="68"/>
      <c r="E113" s="68"/>
      <c r="G113" s="18">
        <v>1</v>
      </c>
    </row>
    <row r="114" spans="1:47" ht="12.75">
      <c r="A114" s="4"/>
      <c r="B114" s="14" t="s">
        <v>124</v>
      </c>
      <c r="C114" s="75" t="s">
        <v>231</v>
      </c>
      <c r="D114" s="76"/>
      <c r="E114" s="76"/>
      <c r="F114" s="4" t="s">
        <v>6</v>
      </c>
      <c r="G114" s="4" t="s">
        <v>6</v>
      </c>
      <c r="H114" s="4" t="s">
        <v>6</v>
      </c>
      <c r="I114" s="38">
        <f>SUM(I115:I115)</f>
        <v>0</v>
      </c>
      <c r="J114" s="38">
        <f>SUM(J115:J115)</f>
        <v>0</v>
      </c>
      <c r="K114" s="38">
        <f>SUM(K115:K115)</f>
        <v>0</v>
      </c>
      <c r="L114" s="29"/>
      <c r="AI114" s="29" t="s">
        <v>418</v>
      </c>
      <c r="AS114" s="38">
        <f>SUM(AJ115:AJ115)</f>
        <v>0</v>
      </c>
      <c r="AT114" s="38">
        <f>SUM(AK115:AK115)</f>
        <v>0</v>
      </c>
      <c r="AU114" s="38">
        <f>SUM(AL115:AL115)</f>
        <v>0</v>
      </c>
    </row>
    <row r="115" spans="1:62" ht="12.75">
      <c r="A115" s="5" t="s">
        <v>49</v>
      </c>
      <c r="B115" s="5" t="s">
        <v>125</v>
      </c>
      <c r="C115" s="69" t="s">
        <v>232</v>
      </c>
      <c r="D115" s="70"/>
      <c r="E115" s="70"/>
      <c r="F115" s="5" t="s">
        <v>388</v>
      </c>
      <c r="G115" s="17">
        <v>1</v>
      </c>
      <c r="H115" s="17">
        <v>0</v>
      </c>
      <c r="I115" s="17">
        <f>G115*AO115</f>
        <v>0</v>
      </c>
      <c r="J115" s="17">
        <f>G115*AP115</f>
        <v>0</v>
      </c>
      <c r="K115" s="17">
        <f>G115*H115</f>
        <v>0</v>
      </c>
      <c r="L115" s="30" t="s">
        <v>407</v>
      </c>
      <c r="Z115" s="35">
        <f>IF(AQ115="5",BJ115,0)</f>
        <v>0</v>
      </c>
      <c r="AB115" s="35">
        <f>IF(AQ115="1",BH115,0)</f>
        <v>0</v>
      </c>
      <c r="AC115" s="35">
        <f>IF(AQ115="1",BI115,0)</f>
        <v>0</v>
      </c>
      <c r="AD115" s="35">
        <f>IF(AQ115="7",BH115,0)</f>
        <v>0</v>
      </c>
      <c r="AE115" s="35">
        <f>IF(AQ115="7",BI115,0)</f>
        <v>0</v>
      </c>
      <c r="AF115" s="35">
        <f>IF(AQ115="2",BH115,0)</f>
        <v>0</v>
      </c>
      <c r="AG115" s="35">
        <f>IF(AQ115="2",BI115,0)</f>
        <v>0</v>
      </c>
      <c r="AH115" s="35">
        <f>IF(AQ115="0",BJ115,0)</f>
        <v>0</v>
      </c>
      <c r="AI115" s="29" t="s">
        <v>418</v>
      </c>
      <c r="AJ115" s="17">
        <f>IF(AN115=0,K115,0)</f>
        <v>0</v>
      </c>
      <c r="AK115" s="17">
        <f>IF(AN115=15,K115,0)</f>
        <v>0</v>
      </c>
      <c r="AL115" s="17">
        <f>IF(AN115=21,K115,0)</f>
        <v>0</v>
      </c>
      <c r="AN115" s="35">
        <v>21</v>
      </c>
      <c r="AO115" s="35">
        <f>H115*0.75332347826087</f>
        <v>0</v>
      </c>
      <c r="AP115" s="35">
        <f>H115*(1-0.75332347826087)</f>
        <v>0</v>
      </c>
      <c r="AQ115" s="30" t="s">
        <v>13</v>
      </c>
      <c r="AV115" s="35">
        <f>AW115+AX115</f>
        <v>0</v>
      </c>
      <c r="AW115" s="35">
        <f>G115*AO115</f>
        <v>0</v>
      </c>
      <c r="AX115" s="35">
        <f>G115*AP115</f>
        <v>0</v>
      </c>
      <c r="AY115" s="36" t="s">
        <v>431</v>
      </c>
      <c r="AZ115" s="36" t="s">
        <v>443</v>
      </c>
      <c r="BA115" s="29" t="s">
        <v>450</v>
      </c>
      <c r="BC115" s="35">
        <f>AW115+AX115</f>
        <v>0</v>
      </c>
      <c r="BD115" s="35">
        <f>H115/(100-BE115)*100</f>
        <v>0</v>
      </c>
      <c r="BE115" s="35">
        <v>0</v>
      </c>
      <c r="BF115" s="35">
        <f>115</f>
        <v>115</v>
      </c>
      <c r="BH115" s="17">
        <f>G115*AO115</f>
        <v>0</v>
      </c>
      <c r="BI115" s="17">
        <f>G115*AP115</f>
        <v>0</v>
      </c>
      <c r="BJ115" s="17">
        <f>G115*H115</f>
        <v>0</v>
      </c>
    </row>
    <row r="116" spans="3:7" ht="12.75">
      <c r="C116" s="67" t="s">
        <v>7</v>
      </c>
      <c r="D116" s="68"/>
      <c r="E116" s="68"/>
      <c r="G116" s="18">
        <v>1</v>
      </c>
    </row>
    <row r="117" spans="1:47" ht="12.75">
      <c r="A117" s="4"/>
      <c r="B117" s="14" t="s">
        <v>126</v>
      </c>
      <c r="C117" s="75" t="s">
        <v>233</v>
      </c>
      <c r="D117" s="76"/>
      <c r="E117" s="76"/>
      <c r="F117" s="4" t="s">
        <v>6</v>
      </c>
      <c r="G117" s="4" t="s">
        <v>6</v>
      </c>
      <c r="H117" s="4" t="s">
        <v>6</v>
      </c>
      <c r="I117" s="38">
        <f>SUM(I118:I120)</f>
        <v>40000</v>
      </c>
      <c r="J117" s="38">
        <f>SUM(J118:J120)</f>
        <v>110000</v>
      </c>
      <c r="K117" s="38">
        <f>SUM(K118:K120)</f>
        <v>150000</v>
      </c>
      <c r="L117" s="29"/>
      <c r="AI117" s="29" t="s">
        <v>418</v>
      </c>
      <c r="AS117" s="38">
        <f>SUM(AJ118:AJ120)</f>
        <v>0</v>
      </c>
      <c r="AT117" s="38">
        <f>SUM(AK118:AK120)</f>
        <v>0</v>
      </c>
      <c r="AU117" s="38">
        <f>SUM(AL118:AL120)</f>
        <v>150000</v>
      </c>
    </row>
    <row r="118" spans="1:62" ht="12.75">
      <c r="A118" s="5" t="s">
        <v>50</v>
      </c>
      <c r="B118" s="5" t="s">
        <v>127</v>
      </c>
      <c r="C118" s="69" t="s">
        <v>234</v>
      </c>
      <c r="D118" s="70"/>
      <c r="E118" s="70"/>
      <c r="F118" s="5" t="s">
        <v>386</v>
      </c>
      <c r="G118" s="17">
        <v>150</v>
      </c>
      <c r="H118" s="17">
        <v>0</v>
      </c>
      <c r="I118" s="17">
        <f>G118*AO118</f>
        <v>0</v>
      </c>
      <c r="J118" s="17">
        <f>G118*AP118</f>
        <v>0</v>
      </c>
      <c r="K118" s="17">
        <f>G118*H118</f>
        <v>0</v>
      </c>
      <c r="L118" s="30" t="s">
        <v>407</v>
      </c>
      <c r="Z118" s="35">
        <f>IF(AQ118="5",BJ118,0)</f>
        <v>0</v>
      </c>
      <c r="AB118" s="35">
        <f>IF(AQ118="1",BH118,0)</f>
        <v>0</v>
      </c>
      <c r="AC118" s="35">
        <f>IF(AQ118="1",BI118,0)</f>
        <v>0</v>
      </c>
      <c r="AD118" s="35">
        <f>IF(AQ118="7",BH118,0)</f>
        <v>0</v>
      </c>
      <c r="AE118" s="35">
        <f>IF(AQ118="7",BI118,0)</f>
        <v>0</v>
      </c>
      <c r="AF118" s="35">
        <f>IF(AQ118="2",BH118,0)</f>
        <v>0</v>
      </c>
      <c r="AG118" s="35">
        <f>IF(AQ118="2",BI118,0)</f>
        <v>0</v>
      </c>
      <c r="AH118" s="35">
        <f>IF(AQ118="0",BJ118,0)</f>
        <v>0</v>
      </c>
      <c r="AI118" s="29" t="s">
        <v>418</v>
      </c>
      <c r="AJ118" s="17">
        <f>IF(AN118=0,K118,0)</f>
        <v>0</v>
      </c>
      <c r="AK118" s="17">
        <f>IF(AN118=15,K118,0)</f>
        <v>0</v>
      </c>
      <c r="AL118" s="17">
        <f>IF(AN118=21,K118,0)</f>
        <v>0</v>
      </c>
      <c r="AN118" s="35">
        <v>21</v>
      </c>
      <c r="AO118" s="35">
        <f>H118*0.413387978142077</f>
        <v>0</v>
      </c>
      <c r="AP118" s="35">
        <f>H118*(1-0.413387978142077)</f>
        <v>0</v>
      </c>
      <c r="AQ118" s="30" t="s">
        <v>8</v>
      </c>
      <c r="AV118" s="35">
        <f>AW118+AX118</f>
        <v>0</v>
      </c>
      <c r="AW118" s="35">
        <f>G118*AO118</f>
        <v>0</v>
      </c>
      <c r="AX118" s="35">
        <f>G118*AP118</f>
        <v>0</v>
      </c>
      <c r="AY118" s="36" t="s">
        <v>432</v>
      </c>
      <c r="AZ118" s="36" t="s">
        <v>444</v>
      </c>
      <c r="BA118" s="29" t="s">
        <v>450</v>
      </c>
      <c r="BC118" s="35">
        <f>AW118+AX118</f>
        <v>0</v>
      </c>
      <c r="BD118" s="35">
        <f>H118/(100-BE118)*100</f>
        <v>0</v>
      </c>
      <c r="BE118" s="35">
        <v>0</v>
      </c>
      <c r="BF118" s="35">
        <f>118</f>
        <v>118</v>
      </c>
      <c r="BH118" s="17">
        <f>G118*AO118</f>
        <v>0</v>
      </c>
      <c r="BI118" s="17">
        <f>G118*AP118</f>
        <v>0</v>
      </c>
      <c r="BJ118" s="17">
        <f>G118*H118</f>
        <v>0</v>
      </c>
    </row>
    <row r="119" spans="3:7" ht="12.75">
      <c r="C119" s="67" t="s">
        <v>235</v>
      </c>
      <c r="D119" s="68"/>
      <c r="E119" s="68"/>
      <c r="G119" s="18">
        <v>150</v>
      </c>
    </row>
    <row r="120" spans="1:62" ht="12.75">
      <c r="A120" s="5" t="s">
        <v>51</v>
      </c>
      <c r="B120" s="5" t="s">
        <v>128</v>
      </c>
      <c r="C120" s="69" t="s">
        <v>236</v>
      </c>
      <c r="D120" s="70"/>
      <c r="E120" s="70"/>
      <c r="F120" s="5" t="s">
        <v>387</v>
      </c>
      <c r="G120" s="17">
        <v>1</v>
      </c>
      <c r="H120" s="17">
        <v>150000</v>
      </c>
      <c r="I120" s="17">
        <v>40000</v>
      </c>
      <c r="J120" s="17">
        <v>110000</v>
      </c>
      <c r="K120" s="17">
        <f>G120*H120</f>
        <v>150000</v>
      </c>
      <c r="L120" s="30" t="s">
        <v>407</v>
      </c>
      <c r="Z120" s="35">
        <f>IF(AQ120="5",BJ120,0)</f>
        <v>0</v>
      </c>
      <c r="AB120" s="35">
        <f>IF(AQ120="1",BH120,0)</f>
        <v>0</v>
      </c>
      <c r="AC120" s="35">
        <f>IF(AQ120="1",BI120,0)</f>
        <v>0</v>
      </c>
      <c r="AD120" s="35">
        <f>IF(AQ120="7",BH120,0)</f>
        <v>0</v>
      </c>
      <c r="AE120" s="35">
        <f>IF(AQ120="7",BI120,0)</f>
        <v>0</v>
      </c>
      <c r="AF120" s="35">
        <f>IF(AQ120="2",BH120,0)</f>
        <v>0</v>
      </c>
      <c r="AG120" s="35">
        <f>IF(AQ120="2",BI120,0)</f>
        <v>150000</v>
      </c>
      <c r="AH120" s="35">
        <f>IF(AQ120="0",BJ120,0)</f>
        <v>0</v>
      </c>
      <c r="AI120" s="29" t="s">
        <v>418</v>
      </c>
      <c r="AJ120" s="17">
        <f>IF(AN120=0,K120,0)</f>
        <v>0</v>
      </c>
      <c r="AK120" s="17">
        <f>IF(AN120=15,K120,0)</f>
        <v>0</v>
      </c>
      <c r="AL120" s="17">
        <f>IF(AN120=21,K120,0)</f>
        <v>150000</v>
      </c>
      <c r="AN120" s="35">
        <v>21</v>
      </c>
      <c r="AO120" s="35">
        <f>H120*0</f>
        <v>0</v>
      </c>
      <c r="AP120" s="35">
        <f>H120*(1-0)</f>
        <v>150000</v>
      </c>
      <c r="AQ120" s="30" t="s">
        <v>8</v>
      </c>
      <c r="AV120" s="35">
        <f>AW120+AX120</f>
        <v>150000</v>
      </c>
      <c r="AW120" s="35">
        <f>G120*AO120</f>
        <v>0</v>
      </c>
      <c r="AX120" s="35">
        <f>G120*AP120</f>
        <v>150000</v>
      </c>
      <c r="AY120" s="36" t="s">
        <v>432</v>
      </c>
      <c r="AZ120" s="36" t="s">
        <v>444</v>
      </c>
      <c r="BA120" s="29" t="s">
        <v>450</v>
      </c>
      <c r="BC120" s="35">
        <f>AW120+AX120</f>
        <v>150000</v>
      </c>
      <c r="BD120" s="35">
        <f>H120/(100-BE120)*100</f>
        <v>150000</v>
      </c>
      <c r="BE120" s="35">
        <v>0</v>
      </c>
      <c r="BF120" s="35">
        <f>120</f>
        <v>120</v>
      </c>
      <c r="BH120" s="17">
        <f>G120*AO120</f>
        <v>0</v>
      </c>
      <c r="BI120" s="17">
        <f>G120*AP120</f>
        <v>150000</v>
      </c>
      <c r="BJ120" s="17">
        <f>G120*H120</f>
        <v>150000</v>
      </c>
    </row>
    <row r="121" spans="3:7" ht="12.75">
      <c r="C121" s="67" t="s">
        <v>237</v>
      </c>
      <c r="D121" s="68"/>
      <c r="E121" s="68"/>
      <c r="G121" s="18">
        <v>1</v>
      </c>
    </row>
    <row r="122" spans="1:12" ht="12.75">
      <c r="A122" s="7"/>
      <c r="B122" s="15"/>
      <c r="C122" s="77" t="s">
        <v>238</v>
      </c>
      <c r="D122" s="78"/>
      <c r="E122" s="78"/>
      <c r="F122" s="7" t="s">
        <v>6</v>
      </c>
      <c r="G122" s="7" t="s">
        <v>6</v>
      </c>
      <c r="H122" s="7" t="s">
        <v>6</v>
      </c>
      <c r="I122" s="39">
        <f>I123+I250+I259+I262+I275+I278+I281+I284+I287</f>
        <v>0</v>
      </c>
      <c r="J122" s="39">
        <f>J123+J250+J259+J262+J275+J278+J281+J284+J287</f>
        <v>0</v>
      </c>
      <c r="K122" s="39">
        <f>K123+K250+K259+K262+K275+K278+K281+K284+K287</f>
        <v>0</v>
      </c>
      <c r="L122" s="32"/>
    </row>
    <row r="123" spans="1:47" ht="12.75">
      <c r="A123" s="4"/>
      <c r="B123" s="14" t="s">
        <v>67</v>
      </c>
      <c r="C123" s="75" t="s">
        <v>239</v>
      </c>
      <c r="D123" s="76"/>
      <c r="E123" s="76"/>
      <c r="F123" s="4" t="s">
        <v>6</v>
      </c>
      <c r="G123" s="4" t="s">
        <v>6</v>
      </c>
      <c r="H123" s="4" t="s">
        <v>6</v>
      </c>
      <c r="I123" s="38">
        <f>SUM(I124:I248)</f>
        <v>0</v>
      </c>
      <c r="J123" s="38">
        <f>SUM(J124:J248)</f>
        <v>0</v>
      </c>
      <c r="K123" s="38">
        <f>SUM(K124:K248)</f>
        <v>0</v>
      </c>
      <c r="L123" s="29"/>
      <c r="AI123" s="29" t="s">
        <v>419</v>
      </c>
      <c r="AS123" s="38">
        <f>SUM(AJ124:AJ248)</f>
        <v>0</v>
      </c>
      <c r="AT123" s="38">
        <f>SUM(AK124:AK248)</f>
        <v>0</v>
      </c>
      <c r="AU123" s="38">
        <f>SUM(AL124:AL248)</f>
        <v>0</v>
      </c>
    </row>
    <row r="124" spans="1:62" ht="12.75">
      <c r="A124" s="5" t="s">
        <v>52</v>
      </c>
      <c r="B124" s="5" t="s">
        <v>129</v>
      </c>
      <c r="C124" s="69" t="s">
        <v>240</v>
      </c>
      <c r="D124" s="70"/>
      <c r="E124" s="70"/>
      <c r="F124" s="5" t="s">
        <v>384</v>
      </c>
      <c r="G124" s="17">
        <v>259.37978</v>
      </c>
      <c r="H124" s="17">
        <v>0</v>
      </c>
      <c r="I124" s="17">
        <f>G124*AO124</f>
        <v>0</v>
      </c>
      <c r="J124" s="17">
        <f>G124*AP124</f>
        <v>0</v>
      </c>
      <c r="K124" s="17">
        <f>G124*H124</f>
        <v>0</v>
      </c>
      <c r="L124" s="30" t="s">
        <v>407</v>
      </c>
      <c r="Z124" s="35">
        <f>IF(AQ124="5",BJ124,0)</f>
        <v>0</v>
      </c>
      <c r="AB124" s="35">
        <f>IF(AQ124="1",BH124,0)</f>
        <v>0</v>
      </c>
      <c r="AC124" s="35">
        <f>IF(AQ124="1",BI124,0)</f>
        <v>0</v>
      </c>
      <c r="AD124" s="35">
        <f>IF(AQ124="7",BH124,0)</f>
        <v>0</v>
      </c>
      <c r="AE124" s="35">
        <f>IF(AQ124="7",BI124,0)</f>
        <v>0</v>
      </c>
      <c r="AF124" s="35">
        <f>IF(AQ124="2",BH124,0)</f>
        <v>0</v>
      </c>
      <c r="AG124" s="35">
        <f>IF(AQ124="2",BI124,0)</f>
        <v>0</v>
      </c>
      <c r="AH124" s="35">
        <f>IF(AQ124="0",BJ124,0)</f>
        <v>0</v>
      </c>
      <c r="AI124" s="29" t="s">
        <v>419</v>
      </c>
      <c r="AJ124" s="17">
        <f>IF(AN124=0,K124,0)</f>
        <v>0</v>
      </c>
      <c r="AK124" s="17">
        <f>IF(AN124=15,K124,0)</f>
        <v>0</v>
      </c>
      <c r="AL124" s="17">
        <f>IF(AN124=21,K124,0)</f>
        <v>0</v>
      </c>
      <c r="AN124" s="35">
        <v>21</v>
      </c>
      <c r="AO124" s="35">
        <f>H124*0.328027883766105</f>
        <v>0</v>
      </c>
      <c r="AP124" s="35">
        <f>H124*(1-0.328027883766105)</f>
        <v>0</v>
      </c>
      <c r="AQ124" s="30" t="s">
        <v>7</v>
      </c>
      <c r="AV124" s="35">
        <f>AW124+AX124</f>
        <v>0</v>
      </c>
      <c r="AW124" s="35">
        <f>G124*AO124</f>
        <v>0</v>
      </c>
      <c r="AX124" s="35">
        <f>G124*AP124</f>
        <v>0</v>
      </c>
      <c r="AY124" s="36" t="s">
        <v>433</v>
      </c>
      <c r="AZ124" s="36" t="s">
        <v>445</v>
      </c>
      <c r="BA124" s="29" t="s">
        <v>451</v>
      </c>
      <c r="BC124" s="35">
        <f>AW124+AX124</f>
        <v>0</v>
      </c>
      <c r="BD124" s="35">
        <f>H124/(100-BE124)*100</f>
        <v>0</v>
      </c>
      <c r="BE124" s="35">
        <v>0</v>
      </c>
      <c r="BF124" s="35">
        <f>124</f>
        <v>124</v>
      </c>
      <c r="BH124" s="17">
        <f>G124*AO124</f>
        <v>0</v>
      </c>
      <c r="BI124" s="17">
        <f>G124*AP124</f>
        <v>0</v>
      </c>
      <c r="BJ124" s="17">
        <f>G124*H124</f>
        <v>0</v>
      </c>
    </row>
    <row r="125" spans="3:7" ht="12.75">
      <c r="C125" s="67" t="s">
        <v>241</v>
      </c>
      <c r="D125" s="68"/>
      <c r="E125" s="68"/>
      <c r="G125" s="18">
        <v>231.84</v>
      </c>
    </row>
    <row r="126" spans="3:7" ht="12.75">
      <c r="C126" s="67" t="s">
        <v>242</v>
      </c>
      <c r="D126" s="68"/>
      <c r="E126" s="68"/>
      <c r="G126" s="18">
        <v>0.468</v>
      </c>
    </row>
    <row r="127" spans="3:7" ht="12.75">
      <c r="C127" s="67" t="s">
        <v>243</v>
      </c>
      <c r="D127" s="68"/>
      <c r="E127" s="68"/>
      <c r="G127" s="18">
        <v>0.726</v>
      </c>
    </row>
    <row r="128" spans="3:7" ht="12.75">
      <c r="C128" s="67" t="s">
        <v>244</v>
      </c>
      <c r="D128" s="68"/>
      <c r="E128" s="68"/>
      <c r="G128" s="18">
        <v>0.3</v>
      </c>
    </row>
    <row r="129" spans="3:7" ht="12.75">
      <c r="C129" s="67" t="s">
        <v>245</v>
      </c>
      <c r="D129" s="68"/>
      <c r="E129" s="68"/>
      <c r="G129" s="18">
        <v>2.525</v>
      </c>
    </row>
    <row r="130" spans="3:7" ht="12.75">
      <c r="C130" s="67" t="s">
        <v>246</v>
      </c>
      <c r="D130" s="68"/>
      <c r="E130" s="68"/>
      <c r="G130" s="18">
        <v>0.7828</v>
      </c>
    </row>
    <row r="131" spans="3:7" ht="12.75">
      <c r="C131" s="67" t="s">
        <v>247</v>
      </c>
      <c r="D131" s="68"/>
      <c r="E131" s="68"/>
      <c r="G131" s="18">
        <v>13.398</v>
      </c>
    </row>
    <row r="132" spans="3:7" ht="12.75">
      <c r="C132" s="67" t="s">
        <v>248</v>
      </c>
      <c r="D132" s="68"/>
      <c r="E132" s="68"/>
      <c r="G132" s="18">
        <v>2.0984</v>
      </c>
    </row>
    <row r="133" spans="3:7" ht="12.75">
      <c r="C133" s="67" t="s">
        <v>249</v>
      </c>
      <c r="D133" s="68"/>
      <c r="E133" s="68"/>
      <c r="G133" s="18">
        <v>3.87618</v>
      </c>
    </row>
    <row r="134" spans="3:7" ht="12.75">
      <c r="C134" s="67" t="s">
        <v>250</v>
      </c>
      <c r="D134" s="68"/>
      <c r="E134" s="68"/>
      <c r="G134" s="18">
        <v>3.3654</v>
      </c>
    </row>
    <row r="135" spans="1:62" ht="12.75">
      <c r="A135" s="5" t="s">
        <v>53</v>
      </c>
      <c r="B135" s="5" t="s">
        <v>130</v>
      </c>
      <c r="C135" s="69" t="s">
        <v>251</v>
      </c>
      <c r="D135" s="70"/>
      <c r="E135" s="70"/>
      <c r="F135" s="5" t="s">
        <v>384</v>
      </c>
      <c r="G135" s="17">
        <v>3437.0286</v>
      </c>
      <c r="H135" s="17">
        <v>0</v>
      </c>
      <c r="I135" s="17">
        <f>G135*AO135</f>
        <v>0</v>
      </c>
      <c r="J135" s="17">
        <f>G135*AP135</f>
        <v>0</v>
      </c>
      <c r="K135" s="17">
        <f>G135*H135</f>
        <v>0</v>
      </c>
      <c r="L135" s="30" t="s">
        <v>407</v>
      </c>
      <c r="Z135" s="35">
        <f>IF(AQ135="5",BJ135,0)</f>
        <v>0</v>
      </c>
      <c r="AB135" s="35">
        <f>IF(AQ135="1",BH135,0)</f>
        <v>0</v>
      </c>
      <c r="AC135" s="35">
        <f>IF(AQ135="1",BI135,0)</f>
        <v>0</v>
      </c>
      <c r="AD135" s="35">
        <f>IF(AQ135="7",BH135,0)</f>
        <v>0</v>
      </c>
      <c r="AE135" s="35">
        <f>IF(AQ135="7",BI135,0)</f>
        <v>0</v>
      </c>
      <c r="AF135" s="35">
        <f>IF(AQ135="2",BH135,0)</f>
        <v>0</v>
      </c>
      <c r="AG135" s="35">
        <f>IF(AQ135="2",BI135,0)</f>
        <v>0</v>
      </c>
      <c r="AH135" s="35">
        <f>IF(AQ135="0",BJ135,0)</f>
        <v>0</v>
      </c>
      <c r="AI135" s="29" t="s">
        <v>419</v>
      </c>
      <c r="AJ135" s="17">
        <f>IF(AN135=0,K135,0)</f>
        <v>0</v>
      </c>
      <c r="AK135" s="17">
        <f>IF(AN135=15,K135,0)</f>
        <v>0</v>
      </c>
      <c r="AL135" s="17">
        <f>IF(AN135=21,K135,0)</f>
        <v>0</v>
      </c>
      <c r="AN135" s="35">
        <v>21</v>
      </c>
      <c r="AO135" s="35">
        <f>H135*0.0643153521225212</f>
        <v>0</v>
      </c>
      <c r="AP135" s="35">
        <f>H135*(1-0.0643153521225212)</f>
        <v>0</v>
      </c>
      <c r="AQ135" s="30" t="s">
        <v>7</v>
      </c>
      <c r="AV135" s="35">
        <f>AW135+AX135</f>
        <v>0</v>
      </c>
      <c r="AW135" s="35">
        <f>G135*AO135</f>
        <v>0</v>
      </c>
      <c r="AX135" s="35">
        <f>G135*AP135</f>
        <v>0</v>
      </c>
      <c r="AY135" s="36" t="s">
        <v>433</v>
      </c>
      <c r="AZ135" s="36" t="s">
        <v>445</v>
      </c>
      <c r="BA135" s="29" t="s">
        <v>451</v>
      </c>
      <c r="BC135" s="35">
        <f>AW135+AX135</f>
        <v>0</v>
      </c>
      <c r="BD135" s="35">
        <f>H135/(100-BE135)*100</f>
        <v>0</v>
      </c>
      <c r="BE135" s="35">
        <v>0</v>
      </c>
      <c r="BF135" s="35">
        <f>135</f>
        <v>135</v>
      </c>
      <c r="BH135" s="17">
        <f>G135*AO135</f>
        <v>0</v>
      </c>
      <c r="BI135" s="17">
        <f>G135*AP135</f>
        <v>0</v>
      </c>
      <c r="BJ135" s="17">
        <f>G135*H135</f>
        <v>0</v>
      </c>
    </row>
    <row r="136" spans="3:7" ht="12.75">
      <c r="C136" s="67" t="s">
        <v>252</v>
      </c>
      <c r="D136" s="68"/>
      <c r="E136" s="68"/>
      <c r="G136" s="18">
        <v>42.896</v>
      </c>
    </row>
    <row r="137" spans="3:7" ht="12.75">
      <c r="C137" s="67" t="s">
        <v>253</v>
      </c>
      <c r="D137" s="68"/>
      <c r="E137" s="68"/>
      <c r="G137" s="18">
        <v>47.152</v>
      </c>
    </row>
    <row r="138" spans="3:7" ht="12.75">
      <c r="C138" s="67" t="s">
        <v>254</v>
      </c>
      <c r="D138" s="68"/>
      <c r="E138" s="68"/>
      <c r="G138" s="18">
        <v>37.48</v>
      </c>
    </row>
    <row r="139" spans="3:7" ht="12.75">
      <c r="C139" s="67" t="s">
        <v>255</v>
      </c>
      <c r="D139" s="68"/>
      <c r="E139" s="68"/>
      <c r="G139" s="18">
        <v>27.28</v>
      </c>
    </row>
    <row r="140" spans="3:7" ht="12.75">
      <c r="C140" s="67" t="s">
        <v>256</v>
      </c>
      <c r="D140" s="68"/>
      <c r="E140" s="68"/>
      <c r="G140" s="18">
        <v>33.18</v>
      </c>
    </row>
    <row r="141" spans="3:7" ht="12.75">
      <c r="C141" s="67" t="s">
        <v>257</v>
      </c>
      <c r="D141" s="68"/>
      <c r="E141" s="68"/>
      <c r="G141" s="18">
        <v>-10.2904</v>
      </c>
    </row>
    <row r="142" spans="3:7" ht="12.75">
      <c r="C142" s="67" t="s">
        <v>258</v>
      </c>
      <c r="D142" s="68"/>
      <c r="E142" s="68"/>
      <c r="G142" s="18">
        <v>110.304</v>
      </c>
    </row>
    <row r="143" spans="3:7" ht="12.75">
      <c r="C143" s="67" t="s">
        <v>259</v>
      </c>
      <c r="D143" s="68"/>
      <c r="E143" s="68"/>
      <c r="G143" s="18">
        <v>-12.735</v>
      </c>
    </row>
    <row r="144" spans="3:7" ht="12.75">
      <c r="C144" s="67" t="s">
        <v>260</v>
      </c>
      <c r="D144" s="68"/>
      <c r="E144" s="68"/>
      <c r="G144" s="18">
        <v>91.872</v>
      </c>
    </row>
    <row r="145" spans="3:7" ht="12.75">
      <c r="C145" s="67" t="s">
        <v>261</v>
      </c>
      <c r="D145" s="68"/>
      <c r="E145" s="68"/>
      <c r="G145" s="18">
        <v>0</v>
      </c>
    </row>
    <row r="146" spans="3:7" ht="12.75">
      <c r="C146" s="67" t="s">
        <v>262</v>
      </c>
      <c r="D146" s="68"/>
      <c r="E146" s="68"/>
      <c r="G146" s="18">
        <v>50.904</v>
      </c>
    </row>
    <row r="147" spans="3:7" ht="12.75">
      <c r="C147" s="67" t="s">
        <v>263</v>
      </c>
      <c r="D147" s="68"/>
      <c r="E147" s="68"/>
      <c r="G147" s="18">
        <v>-1.8</v>
      </c>
    </row>
    <row r="148" spans="3:7" ht="12.75">
      <c r="C148" s="67" t="s">
        <v>264</v>
      </c>
      <c r="D148" s="68"/>
      <c r="E148" s="68"/>
      <c r="G148" s="18">
        <v>49.032</v>
      </c>
    </row>
    <row r="149" spans="3:7" ht="12.75">
      <c r="C149" s="67" t="s">
        <v>265</v>
      </c>
      <c r="D149" s="68"/>
      <c r="E149" s="68"/>
      <c r="G149" s="18">
        <v>-1.8</v>
      </c>
    </row>
    <row r="150" spans="3:7" ht="12.75">
      <c r="C150" s="67" t="s">
        <v>266</v>
      </c>
      <c r="D150" s="68"/>
      <c r="E150" s="68"/>
      <c r="G150" s="18">
        <v>41.976</v>
      </c>
    </row>
    <row r="151" spans="3:7" ht="12.75">
      <c r="C151" s="67" t="s">
        <v>265</v>
      </c>
      <c r="D151" s="68"/>
      <c r="E151" s="68"/>
      <c r="G151" s="18">
        <v>-1.8</v>
      </c>
    </row>
    <row r="152" spans="3:7" ht="12.75">
      <c r="C152" s="67" t="s">
        <v>267</v>
      </c>
      <c r="D152" s="68"/>
      <c r="E152" s="68"/>
      <c r="G152" s="18">
        <v>41.544</v>
      </c>
    </row>
    <row r="153" spans="3:7" ht="12.75">
      <c r="C153" s="67" t="s">
        <v>265</v>
      </c>
      <c r="D153" s="68"/>
      <c r="E153" s="68"/>
      <c r="G153" s="18">
        <v>-1.8</v>
      </c>
    </row>
    <row r="154" spans="3:7" ht="12.75">
      <c r="C154" s="67" t="s">
        <v>268</v>
      </c>
      <c r="D154" s="68"/>
      <c r="E154" s="68"/>
      <c r="G154" s="18">
        <v>116.928</v>
      </c>
    </row>
    <row r="155" spans="3:7" ht="12.75">
      <c r="C155" s="67" t="s">
        <v>265</v>
      </c>
      <c r="D155" s="68"/>
      <c r="E155" s="68"/>
      <c r="G155" s="18">
        <v>-1.8</v>
      </c>
    </row>
    <row r="156" spans="3:7" ht="12.75">
      <c r="C156" s="67" t="s">
        <v>269</v>
      </c>
      <c r="D156" s="68"/>
      <c r="E156" s="68"/>
      <c r="G156" s="18">
        <v>50.832</v>
      </c>
    </row>
    <row r="157" spans="3:7" ht="12.75">
      <c r="C157" s="67" t="s">
        <v>270</v>
      </c>
      <c r="D157" s="68"/>
      <c r="E157" s="68"/>
      <c r="G157" s="18">
        <v>-1.6</v>
      </c>
    </row>
    <row r="158" spans="3:7" ht="12.75">
      <c r="C158" s="67" t="s">
        <v>271</v>
      </c>
      <c r="D158" s="68"/>
      <c r="E158" s="68"/>
      <c r="G158" s="18">
        <v>31.248</v>
      </c>
    </row>
    <row r="159" spans="3:7" ht="12.75">
      <c r="C159" s="67" t="s">
        <v>270</v>
      </c>
      <c r="D159" s="68"/>
      <c r="E159" s="68"/>
      <c r="G159" s="18">
        <v>-1.6</v>
      </c>
    </row>
    <row r="160" spans="3:7" ht="12.75">
      <c r="C160" s="67" t="s">
        <v>272</v>
      </c>
      <c r="D160" s="68"/>
      <c r="E160" s="68"/>
      <c r="G160" s="18">
        <v>8.9</v>
      </c>
    </row>
    <row r="161" spans="3:7" ht="12.75">
      <c r="C161" s="67" t="s">
        <v>273</v>
      </c>
      <c r="D161" s="68"/>
      <c r="E161" s="68"/>
      <c r="G161" s="18">
        <v>-7.9</v>
      </c>
    </row>
    <row r="162" spans="3:7" ht="12.75">
      <c r="C162" s="67" t="s">
        <v>274</v>
      </c>
      <c r="D162" s="68"/>
      <c r="E162" s="68"/>
      <c r="G162" s="18">
        <v>90.072</v>
      </c>
    </row>
    <row r="163" spans="3:7" ht="12.75">
      <c r="C163" s="67" t="s">
        <v>275</v>
      </c>
      <c r="D163" s="68"/>
      <c r="E163" s="68"/>
      <c r="G163" s="18">
        <v>100.152</v>
      </c>
    </row>
    <row r="164" spans="3:7" ht="12.75">
      <c r="C164" s="67" t="s">
        <v>276</v>
      </c>
      <c r="D164" s="68"/>
      <c r="E164" s="68"/>
      <c r="G164" s="18">
        <v>-3.16</v>
      </c>
    </row>
    <row r="165" spans="3:7" ht="12.75">
      <c r="C165" s="67" t="s">
        <v>277</v>
      </c>
      <c r="D165" s="68"/>
      <c r="E165" s="68"/>
      <c r="G165" s="18">
        <v>61.92</v>
      </c>
    </row>
    <row r="166" spans="3:7" ht="12.75">
      <c r="C166" s="67" t="s">
        <v>278</v>
      </c>
      <c r="D166" s="68"/>
      <c r="E166" s="68"/>
      <c r="G166" s="18">
        <v>-3.16</v>
      </c>
    </row>
    <row r="167" spans="3:7" ht="12.75">
      <c r="C167" s="67" t="s">
        <v>279</v>
      </c>
      <c r="D167" s="68"/>
      <c r="E167" s="68"/>
      <c r="G167" s="18">
        <v>33.048</v>
      </c>
    </row>
    <row r="168" spans="3:7" ht="12.75">
      <c r="C168" s="67" t="s">
        <v>280</v>
      </c>
      <c r="D168" s="68"/>
      <c r="E168" s="68"/>
      <c r="G168" s="18">
        <v>-3.2</v>
      </c>
    </row>
    <row r="169" spans="3:7" ht="12.75">
      <c r="C169" s="67" t="s">
        <v>281</v>
      </c>
      <c r="D169" s="68"/>
      <c r="E169" s="68"/>
      <c r="G169" s="18">
        <v>34.632</v>
      </c>
    </row>
    <row r="170" spans="3:7" ht="12.75">
      <c r="C170" s="67" t="s">
        <v>282</v>
      </c>
      <c r="D170" s="68"/>
      <c r="E170" s="68"/>
      <c r="G170" s="18">
        <v>-2.8</v>
      </c>
    </row>
    <row r="171" spans="3:7" ht="12.75">
      <c r="C171" s="67" t="s">
        <v>283</v>
      </c>
      <c r="D171" s="68"/>
      <c r="E171" s="68"/>
      <c r="G171" s="18">
        <v>13.32</v>
      </c>
    </row>
    <row r="172" spans="3:7" ht="12.75">
      <c r="C172" s="67" t="s">
        <v>284</v>
      </c>
      <c r="D172" s="68"/>
      <c r="E172" s="68"/>
      <c r="G172" s="18">
        <v>-1.2</v>
      </c>
    </row>
    <row r="173" spans="3:7" ht="12.75">
      <c r="C173" s="67" t="s">
        <v>285</v>
      </c>
      <c r="D173" s="68"/>
      <c r="E173" s="68"/>
      <c r="G173" s="18">
        <v>32.328</v>
      </c>
    </row>
    <row r="174" spans="3:7" ht="12.75">
      <c r="C174" s="67" t="s">
        <v>286</v>
      </c>
      <c r="D174" s="68"/>
      <c r="E174" s="68"/>
      <c r="G174" s="18">
        <v>-3.2</v>
      </c>
    </row>
    <row r="175" spans="3:7" ht="12.75">
      <c r="C175" s="67" t="s">
        <v>287</v>
      </c>
      <c r="D175" s="68"/>
      <c r="E175" s="68"/>
      <c r="G175" s="18">
        <v>93.816</v>
      </c>
    </row>
    <row r="176" spans="3:7" ht="12.75">
      <c r="C176" s="67" t="s">
        <v>270</v>
      </c>
      <c r="D176" s="68"/>
      <c r="E176" s="68"/>
      <c r="G176" s="18">
        <v>-1.6</v>
      </c>
    </row>
    <row r="177" spans="3:7" ht="12.75">
      <c r="C177" s="67" t="s">
        <v>288</v>
      </c>
      <c r="D177" s="68"/>
      <c r="E177" s="68"/>
      <c r="G177" s="18">
        <v>48.528</v>
      </c>
    </row>
    <row r="178" spans="3:7" ht="12.75">
      <c r="C178" s="67" t="s">
        <v>270</v>
      </c>
      <c r="D178" s="68"/>
      <c r="E178" s="68"/>
      <c r="G178" s="18">
        <v>-1.6</v>
      </c>
    </row>
    <row r="179" spans="3:7" ht="12.75">
      <c r="C179" s="67" t="s">
        <v>289</v>
      </c>
      <c r="D179" s="68"/>
      <c r="E179" s="68"/>
      <c r="G179" s="18">
        <v>36.72</v>
      </c>
    </row>
    <row r="180" spans="3:7" ht="12.75">
      <c r="C180" s="67" t="s">
        <v>265</v>
      </c>
      <c r="D180" s="68"/>
      <c r="E180" s="68"/>
      <c r="G180" s="18">
        <v>-1.8</v>
      </c>
    </row>
    <row r="181" spans="3:7" ht="12.75">
      <c r="C181" s="67" t="s">
        <v>290</v>
      </c>
      <c r="D181" s="68"/>
      <c r="E181" s="68"/>
      <c r="G181" s="18">
        <v>36.36</v>
      </c>
    </row>
    <row r="182" spans="3:7" ht="12.75">
      <c r="C182" s="67" t="s">
        <v>291</v>
      </c>
      <c r="D182" s="68"/>
      <c r="E182" s="68"/>
      <c r="G182" s="18">
        <v>-9.05</v>
      </c>
    </row>
    <row r="183" spans="3:7" ht="12.75">
      <c r="C183" s="67" t="s">
        <v>292</v>
      </c>
      <c r="D183" s="68"/>
      <c r="E183" s="68"/>
      <c r="G183" s="18">
        <v>45.792</v>
      </c>
    </row>
    <row r="184" spans="3:7" ht="12.75">
      <c r="C184" s="67" t="s">
        <v>293</v>
      </c>
      <c r="D184" s="68"/>
      <c r="E184" s="68"/>
      <c r="G184" s="18">
        <v>-3.4</v>
      </c>
    </row>
    <row r="185" spans="3:7" ht="12.75">
      <c r="C185" s="67" t="s">
        <v>294</v>
      </c>
      <c r="D185" s="68"/>
      <c r="E185" s="68"/>
      <c r="G185" s="18">
        <v>58.896</v>
      </c>
    </row>
    <row r="186" spans="3:7" ht="12.75">
      <c r="C186" s="67" t="s">
        <v>295</v>
      </c>
      <c r="D186" s="68"/>
      <c r="E186" s="68"/>
      <c r="G186" s="18">
        <v>-3.4</v>
      </c>
    </row>
    <row r="187" spans="3:7" ht="12.75">
      <c r="C187" s="67" t="s">
        <v>296</v>
      </c>
      <c r="D187" s="68"/>
      <c r="E187" s="68"/>
      <c r="G187" s="18">
        <v>109.944</v>
      </c>
    </row>
    <row r="188" spans="3:7" ht="12.75">
      <c r="C188" s="67" t="s">
        <v>297</v>
      </c>
      <c r="D188" s="68"/>
      <c r="E188" s="68"/>
      <c r="G188" s="18">
        <v>-12.8109</v>
      </c>
    </row>
    <row r="189" spans="3:7" ht="12.75">
      <c r="C189" s="67" t="s">
        <v>298</v>
      </c>
      <c r="D189" s="68"/>
      <c r="E189" s="68"/>
      <c r="G189" s="18">
        <v>103.032</v>
      </c>
    </row>
    <row r="190" spans="3:7" ht="12.75">
      <c r="C190" s="67" t="s">
        <v>299</v>
      </c>
      <c r="D190" s="68"/>
      <c r="E190" s="68"/>
      <c r="G190" s="18">
        <v>-12.4109</v>
      </c>
    </row>
    <row r="191" spans="3:7" ht="12.75">
      <c r="C191" s="67" t="s">
        <v>300</v>
      </c>
      <c r="D191" s="68"/>
      <c r="E191" s="68"/>
      <c r="G191" s="18">
        <v>117.504</v>
      </c>
    </row>
    <row r="192" spans="3:7" ht="12.75">
      <c r="C192" s="67" t="s">
        <v>265</v>
      </c>
      <c r="D192" s="68"/>
      <c r="E192" s="68"/>
      <c r="G192" s="18">
        <v>-1.8</v>
      </c>
    </row>
    <row r="193" spans="3:7" ht="12.75">
      <c r="C193" s="67" t="s">
        <v>301</v>
      </c>
      <c r="D193" s="68"/>
      <c r="E193" s="68"/>
      <c r="G193" s="18">
        <v>113.544</v>
      </c>
    </row>
    <row r="194" spans="3:7" ht="12.75">
      <c r="C194" s="67" t="s">
        <v>265</v>
      </c>
      <c r="D194" s="68"/>
      <c r="E194" s="68"/>
      <c r="G194" s="18">
        <v>-1.8</v>
      </c>
    </row>
    <row r="195" spans="3:7" ht="12.75">
      <c r="C195" s="67" t="s">
        <v>302</v>
      </c>
      <c r="D195" s="68"/>
      <c r="E195" s="68"/>
      <c r="G195" s="18">
        <v>70.416</v>
      </c>
    </row>
    <row r="196" spans="3:7" ht="12.75">
      <c r="C196" s="67" t="s">
        <v>265</v>
      </c>
      <c r="D196" s="68"/>
      <c r="E196" s="68"/>
      <c r="G196" s="18">
        <v>-1.8</v>
      </c>
    </row>
    <row r="197" spans="3:7" ht="12.75">
      <c r="C197" s="67" t="s">
        <v>303</v>
      </c>
      <c r="D197" s="68"/>
      <c r="E197" s="68"/>
      <c r="G197" s="18">
        <v>113.328</v>
      </c>
    </row>
    <row r="198" spans="3:7" ht="12.75">
      <c r="C198" s="67" t="s">
        <v>265</v>
      </c>
      <c r="D198" s="68"/>
      <c r="E198" s="68"/>
      <c r="G198" s="18">
        <v>-1.8</v>
      </c>
    </row>
    <row r="199" spans="3:7" ht="12.75">
      <c r="C199" s="67" t="s">
        <v>304</v>
      </c>
      <c r="D199" s="68"/>
      <c r="E199" s="68"/>
      <c r="G199" s="18">
        <v>119.16</v>
      </c>
    </row>
    <row r="200" spans="3:7" ht="12.75">
      <c r="C200" s="67" t="s">
        <v>265</v>
      </c>
      <c r="D200" s="68"/>
      <c r="E200" s="68"/>
      <c r="G200" s="18">
        <v>-1.8</v>
      </c>
    </row>
    <row r="201" spans="3:7" ht="12.75">
      <c r="C201" s="67" t="s">
        <v>305</v>
      </c>
      <c r="D201" s="68"/>
      <c r="E201" s="68"/>
      <c r="G201" s="18">
        <v>102.384</v>
      </c>
    </row>
    <row r="202" spans="3:7" ht="12.75">
      <c r="C202" s="67" t="s">
        <v>306</v>
      </c>
      <c r="D202" s="68"/>
      <c r="E202" s="68"/>
      <c r="G202" s="18">
        <v>-1.6</v>
      </c>
    </row>
    <row r="203" spans="3:7" ht="12.75">
      <c r="C203" s="67" t="s">
        <v>307</v>
      </c>
      <c r="D203" s="68"/>
      <c r="E203" s="68"/>
      <c r="G203" s="18">
        <v>22.32</v>
      </c>
    </row>
    <row r="204" spans="3:7" ht="12.75">
      <c r="C204" s="67" t="s">
        <v>306</v>
      </c>
      <c r="D204" s="68"/>
      <c r="E204" s="68"/>
      <c r="G204" s="18">
        <v>-1.6</v>
      </c>
    </row>
    <row r="205" spans="3:7" ht="12.75">
      <c r="C205" s="67" t="s">
        <v>308</v>
      </c>
      <c r="D205" s="68"/>
      <c r="E205" s="68"/>
      <c r="G205" s="18">
        <v>117.576</v>
      </c>
    </row>
    <row r="206" spans="3:7" ht="12.75">
      <c r="C206" s="67" t="s">
        <v>265</v>
      </c>
      <c r="D206" s="68"/>
      <c r="E206" s="68"/>
      <c r="G206" s="18">
        <v>-1.8</v>
      </c>
    </row>
    <row r="207" spans="3:7" ht="12.75">
      <c r="C207" s="67" t="s">
        <v>309</v>
      </c>
      <c r="D207" s="68"/>
      <c r="E207" s="68"/>
      <c r="G207" s="18">
        <v>30.81</v>
      </c>
    </row>
    <row r="208" spans="3:7" ht="12.75">
      <c r="C208" s="67" t="s">
        <v>310</v>
      </c>
      <c r="D208" s="68"/>
      <c r="E208" s="68"/>
      <c r="G208" s="18">
        <v>-11.554</v>
      </c>
    </row>
    <row r="209" spans="3:7" ht="12.75">
      <c r="C209" s="67" t="s">
        <v>311</v>
      </c>
      <c r="D209" s="68"/>
      <c r="E209" s="68"/>
      <c r="G209" s="18">
        <v>104.4</v>
      </c>
    </row>
    <row r="210" spans="3:7" ht="12.75">
      <c r="C210" s="67" t="s">
        <v>312</v>
      </c>
      <c r="D210" s="68"/>
      <c r="E210" s="68"/>
      <c r="G210" s="18">
        <v>-9.584</v>
      </c>
    </row>
    <row r="211" spans="3:7" ht="12.75">
      <c r="C211" s="67" t="s">
        <v>313</v>
      </c>
      <c r="D211" s="68"/>
      <c r="E211" s="68"/>
      <c r="G211" s="18">
        <v>119.376</v>
      </c>
    </row>
    <row r="212" spans="3:7" ht="12.75">
      <c r="C212" s="67" t="s">
        <v>314</v>
      </c>
      <c r="D212" s="68"/>
      <c r="E212" s="68"/>
      <c r="G212" s="18">
        <v>-1.8</v>
      </c>
    </row>
    <row r="213" spans="3:7" ht="12.75">
      <c r="C213" s="67" t="s">
        <v>315</v>
      </c>
      <c r="D213" s="68"/>
      <c r="E213" s="68"/>
      <c r="G213" s="18">
        <v>113.544</v>
      </c>
    </row>
    <row r="214" spans="3:7" ht="12.75">
      <c r="C214" s="67" t="s">
        <v>316</v>
      </c>
      <c r="D214" s="68"/>
      <c r="E214" s="68"/>
      <c r="G214" s="18">
        <v>-3.6</v>
      </c>
    </row>
    <row r="215" spans="3:7" ht="12.75">
      <c r="C215" s="67" t="s">
        <v>317</v>
      </c>
      <c r="D215" s="68"/>
      <c r="E215" s="68"/>
      <c r="G215" s="18">
        <v>92.664</v>
      </c>
    </row>
    <row r="216" spans="3:7" ht="12.75">
      <c r="C216" s="67" t="s">
        <v>316</v>
      </c>
      <c r="D216" s="68"/>
      <c r="E216" s="68"/>
      <c r="G216" s="18">
        <v>-3.6</v>
      </c>
    </row>
    <row r="217" spans="3:7" ht="12.75">
      <c r="C217" s="67" t="s">
        <v>318</v>
      </c>
      <c r="D217" s="68"/>
      <c r="E217" s="68"/>
      <c r="G217" s="18">
        <v>62.136</v>
      </c>
    </row>
    <row r="218" spans="3:7" ht="12.75">
      <c r="C218" s="67" t="s">
        <v>265</v>
      </c>
      <c r="D218" s="68"/>
      <c r="E218" s="68"/>
      <c r="G218" s="18">
        <v>-1.8</v>
      </c>
    </row>
    <row r="219" spans="3:7" ht="12.75">
      <c r="C219" s="67" t="s">
        <v>319</v>
      </c>
      <c r="D219" s="68"/>
      <c r="E219" s="68"/>
      <c r="G219" s="18">
        <v>119.16</v>
      </c>
    </row>
    <row r="220" spans="3:7" ht="12.75">
      <c r="C220" s="67" t="s">
        <v>316</v>
      </c>
      <c r="D220" s="68"/>
      <c r="E220" s="68"/>
      <c r="G220" s="18">
        <v>-3.6</v>
      </c>
    </row>
    <row r="221" spans="3:7" ht="12.75">
      <c r="C221" s="67" t="s">
        <v>320</v>
      </c>
      <c r="D221" s="68"/>
      <c r="E221" s="68"/>
      <c r="G221" s="18">
        <v>78.84</v>
      </c>
    </row>
    <row r="222" spans="3:7" ht="12.75">
      <c r="C222" s="67" t="s">
        <v>265</v>
      </c>
      <c r="D222" s="68"/>
      <c r="E222" s="68"/>
      <c r="G222" s="18">
        <v>-1.8</v>
      </c>
    </row>
    <row r="223" spans="3:7" ht="12.75">
      <c r="C223" s="67" t="s">
        <v>321</v>
      </c>
      <c r="D223" s="68"/>
      <c r="E223" s="68"/>
      <c r="G223" s="18">
        <v>99.36</v>
      </c>
    </row>
    <row r="224" spans="3:7" ht="12.75">
      <c r="C224" s="67" t="s">
        <v>322</v>
      </c>
      <c r="D224" s="68"/>
      <c r="E224" s="68"/>
      <c r="G224" s="18">
        <v>-3</v>
      </c>
    </row>
    <row r="225" spans="3:7" ht="12.75">
      <c r="C225" s="67" t="s">
        <v>323</v>
      </c>
      <c r="D225" s="68"/>
      <c r="E225" s="68"/>
      <c r="G225" s="18">
        <v>22.896</v>
      </c>
    </row>
    <row r="226" spans="3:7" ht="12.75">
      <c r="C226" s="67" t="s">
        <v>284</v>
      </c>
      <c r="D226" s="68"/>
      <c r="E226" s="68"/>
      <c r="G226" s="18">
        <v>-1.2</v>
      </c>
    </row>
    <row r="227" spans="3:7" ht="12.75">
      <c r="C227" s="67" t="s">
        <v>324</v>
      </c>
      <c r="D227" s="68"/>
      <c r="E227" s="68"/>
      <c r="G227" s="18">
        <v>118.08</v>
      </c>
    </row>
    <row r="228" spans="3:7" ht="12.75">
      <c r="C228" s="67" t="s">
        <v>265</v>
      </c>
      <c r="D228" s="68"/>
      <c r="E228" s="68"/>
      <c r="G228" s="18">
        <v>-1.8</v>
      </c>
    </row>
    <row r="229" spans="3:7" ht="12.75">
      <c r="C229" s="67" t="s">
        <v>325</v>
      </c>
      <c r="D229" s="68"/>
      <c r="E229" s="68"/>
      <c r="G229" s="18">
        <v>32.812</v>
      </c>
    </row>
    <row r="230" spans="3:7" ht="12.75">
      <c r="C230" s="67" t="s">
        <v>326</v>
      </c>
      <c r="D230" s="68"/>
      <c r="E230" s="68"/>
      <c r="G230" s="18">
        <v>0</v>
      </c>
    </row>
    <row r="231" spans="3:7" ht="12.75">
      <c r="C231" s="67" t="s">
        <v>327</v>
      </c>
      <c r="D231" s="68"/>
      <c r="E231" s="68"/>
      <c r="G231" s="18">
        <v>76.104</v>
      </c>
    </row>
    <row r="232" spans="3:7" ht="12.75">
      <c r="C232" s="67" t="s">
        <v>328</v>
      </c>
      <c r="D232" s="68"/>
      <c r="E232" s="68"/>
      <c r="G232" s="18">
        <v>-3.3756</v>
      </c>
    </row>
    <row r="233" spans="3:7" ht="12.75">
      <c r="C233" s="67" t="s">
        <v>329</v>
      </c>
      <c r="D233" s="68"/>
      <c r="E233" s="68"/>
      <c r="G233" s="18">
        <v>60.704</v>
      </c>
    </row>
    <row r="234" spans="3:7" ht="12.75">
      <c r="C234" s="67" t="s">
        <v>330</v>
      </c>
      <c r="D234" s="68"/>
      <c r="E234" s="68"/>
      <c r="G234" s="18">
        <v>-3.1756</v>
      </c>
    </row>
    <row r="235" spans="3:7" ht="12.75">
      <c r="C235" s="67" t="s">
        <v>331</v>
      </c>
      <c r="D235" s="68"/>
      <c r="E235" s="68"/>
      <c r="G235" s="18">
        <v>63.504</v>
      </c>
    </row>
    <row r="236" spans="3:7" ht="12.75">
      <c r="C236" s="67" t="s">
        <v>332</v>
      </c>
      <c r="D236" s="68"/>
      <c r="E236" s="68"/>
      <c r="G236" s="18">
        <v>-9.1</v>
      </c>
    </row>
    <row r="237" spans="3:7" ht="12.75">
      <c r="C237" s="67" t="s">
        <v>333</v>
      </c>
      <c r="D237" s="68"/>
      <c r="E237" s="68"/>
      <c r="G237" s="18">
        <v>60.648</v>
      </c>
    </row>
    <row r="238" spans="3:7" ht="12.75">
      <c r="C238" s="67" t="s">
        <v>334</v>
      </c>
      <c r="D238" s="68"/>
      <c r="E238" s="68"/>
      <c r="G238" s="18">
        <v>-3.6</v>
      </c>
    </row>
    <row r="239" spans="3:7" ht="12.75">
      <c r="C239" s="67" t="s">
        <v>335</v>
      </c>
      <c r="D239" s="68"/>
      <c r="E239" s="68"/>
      <c r="G239" s="18">
        <v>60.592</v>
      </c>
    </row>
    <row r="240" spans="3:7" ht="12.75">
      <c r="C240" s="67" t="s">
        <v>336</v>
      </c>
      <c r="D240" s="68"/>
      <c r="E240" s="68"/>
      <c r="G240" s="18">
        <v>-5.06</v>
      </c>
    </row>
    <row r="241" spans="3:7" ht="12.75">
      <c r="C241" s="67" t="s">
        <v>337</v>
      </c>
      <c r="D241" s="68"/>
      <c r="E241" s="68"/>
      <c r="G241" s="18">
        <v>21.168</v>
      </c>
    </row>
    <row r="242" spans="3:7" ht="12.75">
      <c r="C242" s="67" t="s">
        <v>306</v>
      </c>
      <c r="D242" s="68"/>
      <c r="E242" s="68"/>
      <c r="G242" s="18">
        <v>-1.6</v>
      </c>
    </row>
    <row r="243" spans="3:7" ht="12.75">
      <c r="C243" s="67" t="s">
        <v>338</v>
      </c>
      <c r="D243" s="68"/>
      <c r="E243" s="68"/>
      <c r="G243" s="18">
        <v>53.088</v>
      </c>
    </row>
    <row r="244" spans="3:7" ht="12.75">
      <c r="C244" s="67" t="s">
        <v>295</v>
      </c>
      <c r="D244" s="68"/>
      <c r="E244" s="68"/>
      <c r="G244" s="18">
        <v>-3.4</v>
      </c>
    </row>
    <row r="245" spans="3:7" ht="12.75">
      <c r="C245" s="67" t="s">
        <v>339</v>
      </c>
      <c r="D245" s="68"/>
      <c r="E245" s="68"/>
      <c r="G245" s="18">
        <v>46.368</v>
      </c>
    </row>
    <row r="246" spans="3:7" ht="12.75">
      <c r="C246" s="67" t="s">
        <v>340</v>
      </c>
      <c r="D246" s="68"/>
      <c r="E246" s="68"/>
      <c r="G246" s="18">
        <v>-3.6</v>
      </c>
    </row>
    <row r="247" spans="3:7" ht="12.75">
      <c r="C247" s="67" t="s">
        <v>341</v>
      </c>
      <c r="D247" s="68"/>
      <c r="E247" s="68"/>
      <c r="G247" s="18">
        <v>-259.379</v>
      </c>
    </row>
    <row r="248" spans="1:62" ht="12.75">
      <c r="A248" s="5" t="s">
        <v>54</v>
      </c>
      <c r="B248" s="5" t="s">
        <v>131</v>
      </c>
      <c r="C248" s="69" t="s">
        <v>342</v>
      </c>
      <c r="D248" s="70"/>
      <c r="E248" s="70"/>
      <c r="F248" s="5" t="s">
        <v>384</v>
      </c>
      <c r="G248" s="17">
        <v>3.099</v>
      </c>
      <c r="H248" s="17">
        <v>0</v>
      </c>
      <c r="I248" s="17">
        <f>G248*AO248</f>
        <v>0</v>
      </c>
      <c r="J248" s="17">
        <f>G248*AP248</f>
        <v>0</v>
      </c>
      <c r="K248" s="17">
        <f>G248*H248</f>
        <v>0</v>
      </c>
      <c r="L248" s="30" t="s">
        <v>407</v>
      </c>
      <c r="Z248" s="35">
        <f>IF(AQ248="5",BJ248,0)</f>
        <v>0</v>
      </c>
      <c r="AB248" s="35">
        <f>IF(AQ248="1",BH248,0)</f>
        <v>0</v>
      </c>
      <c r="AC248" s="35">
        <f>IF(AQ248="1",BI248,0)</f>
        <v>0</v>
      </c>
      <c r="AD248" s="35">
        <f>IF(AQ248="7",BH248,0)</f>
        <v>0</v>
      </c>
      <c r="AE248" s="35">
        <f>IF(AQ248="7",BI248,0)</f>
        <v>0</v>
      </c>
      <c r="AF248" s="35">
        <f>IF(AQ248="2",BH248,0)</f>
        <v>0</v>
      </c>
      <c r="AG248" s="35">
        <f>IF(AQ248="2",BI248,0)</f>
        <v>0</v>
      </c>
      <c r="AH248" s="35">
        <f>IF(AQ248="0",BJ248,0)</f>
        <v>0</v>
      </c>
      <c r="AI248" s="29" t="s">
        <v>419</v>
      </c>
      <c r="AJ248" s="17">
        <f>IF(AN248=0,K248,0)</f>
        <v>0</v>
      </c>
      <c r="AK248" s="17">
        <f>IF(AN248=15,K248,0)</f>
        <v>0</v>
      </c>
      <c r="AL248" s="17">
        <f>IF(AN248=21,K248,0)</f>
        <v>0</v>
      </c>
      <c r="AN248" s="35">
        <v>21</v>
      </c>
      <c r="AO248" s="35">
        <f>H248*0.133668712678551</f>
        <v>0</v>
      </c>
      <c r="AP248" s="35">
        <f>H248*(1-0.133668712678551)</f>
        <v>0</v>
      </c>
      <c r="AQ248" s="30" t="s">
        <v>7</v>
      </c>
      <c r="AV248" s="35">
        <f>AW248+AX248</f>
        <v>0</v>
      </c>
      <c r="AW248" s="35">
        <f>G248*AO248</f>
        <v>0</v>
      </c>
      <c r="AX248" s="35">
        <f>G248*AP248</f>
        <v>0</v>
      </c>
      <c r="AY248" s="36" t="s">
        <v>433</v>
      </c>
      <c r="AZ248" s="36" t="s">
        <v>445</v>
      </c>
      <c r="BA248" s="29" t="s">
        <v>451</v>
      </c>
      <c r="BC248" s="35">
        <f>AW248+AX248</f>
        <v>0</v>
      </c>
      <c r="BD248" s="35">
        <f>H248/(100-BE248)*100</f>
        <v>0</v>
      </c>
      <c r="BE248" s="35">
        <v>0</v>
      </c>
      <c r="BF248" s="35">
        <f>248</f>
        <v>248</v>
      </c>
      <c r="BH248" s="17">
        <f>G248*AO248</f>
        <v>0</v>
      </c>
      <c r="BI248" s="17">
        <f>G248*AP248</f>
        <v>0</v>
      </c>
      <c r="BJ248" s="17">
        <f>G248*H248</f>
        <v>0</v>
      </c>
    </row>
    <row r="249" spans="3:7" ht="12.75">
      <c r="C249" s="67" t="s">
        <v>343</v>
      </c>
      <c r="D249" s="68"/>
      <c r="E249" s="68"/>
      <c r="G249" s="18">
        <v>3.099</v>
      </c>
    </row>
    <row r="250" spans="1:47" ht="12.75">
      <c r="A250" s="4"/>
      <c r="B250" s="14" t="s">
        <v>68</v>
      </c>
      <c r="C250" s="75" t="s">
        <v>344</v>
      </c>
      <c r="D250" s="76"/>
      <c r="E250" s="76"/>
      <c r="F250" s="4" t="s">
        <v>6</v>
      </c>
      <c r="G250" s="4" t="s">
        <v>6</v>
      </c>
      <c r="H250" s="4" t="s">
        <v>6</v>
      </c>
      <c r="I250" s="38">
        <f>SUM(I251:I251)</f>
        <v>0</v>
      </c>
      <c r="J250" s="38">
        <f>SUM(J251:J251)</f>
        <v>0</v>
      </c>
      <c r="K250" s="38">
        <f>SUM(K251:K251)</f>
        <v>0</v>
      </c>
      <c r="L250" s="29"/>
      <c r="AI250" s="29" t="s">
        <v>419</v>
      </c>
      <c r="AS250" s="38">
        <f>SUM(AJ251:AJ251)</f>
        <v>0</v>
      </c>
      <c r="AT250" s="38">
        <f>SUM(AK251:AK251)</f>
        <v>0</v>
      </c>
      <c r="AU250" s="38">
        <f>SUM(AL251:AL251)</f>
        <v>0</v>
      </c>
    </row>
    <row r="251" spans="1:62" ht="12.75">
      <c r="A251" s="5" t="s">
        <v>55</v>
      </c>
      <c r="B251" s="5" t="s">
        <v>132</v>
      </c>
      <c r="C251" s="69" t="s">
        <v>345</v>
      </c>
      <c r="D251" s="70"/>
      <c r="E251" s="70"/>
      <c r="F251" s="5" t="s">
        <v>384</v>
      </c>
      <c r="G251" s="17">
        <v>1495.01</v>
      </c>
      <c r="H251" s="17">
        <v>0</v>
      </c>
      <c r="I251" s="17">
        <f>G251*AO251</f>
        <v>0</v>
      </c>
      <c r="J251" s="17">
        <f>G251*AP251</f>
        <v>0</v>
      </c>
      <c r="K251" s="17">
        <f>G251*H251</f>
        <v>0</v>
      </c>
      <c r="L251" s="30" t="s">
        <v>407</v>
      </c>
      <c r="Z251" s="35">
        <f>IF(AQ251="5",BJ251,0)</f>
        <v>0</v>
      </c>
      <c r="AB251" s="35">
        <f>IF(AQ251="1",BH251,0)</f>
        <v>0</v>
      </c>
      <c r="AC251" s="35">
        <f>IF(AQ251="1",BI251,0)</f>
        <v>0</v>
      </c>
      <c r="AD251" s="35">
        <f>IF(AQ251="7",BH251,0)</f>
        <v>0</v>
      </c>
      <c r="AE251" s="35">
        <f>IF(AQ251="7",BI251,0)</f>
        <v>0</v>
      </c>
      <c r="AF251" s="35">
        <f>IF(AQ251="2",BH251,0)</f>
        <v>0</v>
      </c>
      <c r="AG251" s="35">
        <f>IF(AQ251="2",BI251,0)</f>
        <v>0</v>
      </c>
      <c r="AH251" s="35">
        <f>IF(AQ251="0",BJ251,0)</f>
        <v>0</v>
      </c>
      <c r="AI251" s="29" t="s">
        <v>419</v>
      </c>
      <c r="AJ251" s="17">
        <f>IF(AN251=0,K251,0)</f>
        <v>0</v>
      </c>
      <c r="AK251" s="17">
        <f>IF(AN251=15,K251,0)</f>
        <v>0</v>
      </c>
      <c r="AL251" s="17">
        <f>IF(AN251=21,K251,0)</f>
        <v>0</v>
      </c>
      <c r="AN251" s="35">
        <v>21</v>
      </c>
      <c r="AO251" s="35">
        <f>H251*0.175247536358579</f>
        <v>0</v>
      </c>
      <c r="AP251" s="35">
        <f>H251*(1-0.175247536358579)</f>
        <v>0</v>
      </c>
      <c r="AQ251" s="30" t="s">
        <v>7</v>
      </c>
      <c r="AV251" s="35">
        <f>AW251+AX251</f>
        <v>0</v>
      </c>
      <c r="AW251" s="35">
        <f>G251*AO251</f>
        <v>0</v>
      </c>
      <c r="AX251" s="35">
        <f>G251*AP251</f>
        <v>0</v>
      </c>
      <c r="AY251" s="36" t="s">
        <v>434</v>
      </c>
      <c r="AZ251" s="36" t="s">
        <v>445</v>
      </c>
      <c r="BA251" s="29" t="s">
        <v>451</v>
      </c>
      <c r="BC251" s="35">
        <f>AW251+AX251</f>
        <v>0</v>
      </c>
      <c r="BD251" s="35">
        <f>H251/(100-BE251)*100</f>
        <v>0</v>
      </c>
      <c r="BE251" s="35">
        <v>0</v>
      </c>
      <c r="BF251" s="35">
        <f>251</f>
        <v>251</v>
      </c>
      <c r="BH251" s="17">
        <f>G251*AO251</f>
        <v>0</v>
      </c>
      <c r="BI251" s="17">
        <f>G251*AP251</f>
        <v>0</v>
      </c>
      <c r="BJ251" s="17">
        <f>G251*H251</f>
        <v>0</v>
      </c>
    </row>
    <row r="252" spans="3:7" ht="12.75">
      <c r="C252" s="67" t="s">
        <v>346</v>
      </c>
      <c r="D252" s="68"/>
      <c r="E252" s="68"/>
      <c r="G252" s="18">
        <v>60.92</v>
      </c>
    </row>
    <row r="253" spans="3:7" ht="12.75">
      <c r="C253" s="67" t="s">
        <v>347</v>
      </c>
      <c r="D253" s="68"/>
      <c r="E253" s="68"/>
      <c r="G253" s="18">
        <v>168.16</v>
      </c>
    </row>
    <row r="254" spans="3:7" ht="12.75">
      <c r="C254" s="67" t="s">
        <v>348</v>
      </c>
      <c r="D254" s="68"/>
      <c r="E254" s="68"/>
      <c r="G254" s="18">
        <v>176.86</v>
      </c>
    </row>
    <row r="255" spans="3:7" ht="12.75">
      <c r="C255" s="67" t="s">
        <v>349</v>
      </c>
      <c r="D255" s="68"/>
      <c r="E255" s="68"/>
      <c r="G255" s="18">
        <v>47.77</v>
      </c>
    </row>
    <row r="256" spans="3:7" ht="12.75">
      <c r="C256" s="67" t="s">
        <v>350</v>
      </c>
      <c r="D256" s="68"/>
      <c r="E256" s="68"/>
      <c r="G256" s="18">
        <v>420.37</v>
      </c>
    </row>
    <row r="257" spans="3:7" ht="12.75">
      <c r="C257" s="67" t="s">
        <v>351</v>
      </c>
      <c r="D257" s="68"/>
      <c r="E257" s="68"/>
      <c r="G257" s="18">
        <v>426.03</v>
      </c>
    </row>
    <row r="258" spans="3:7" ht="12.75">
      <c r="C258" s="67" t="s">
        <v>352</v>
      </c>
      <c r="D258" s="68"/>
      <c r="E258" s="68"/>
      <c r="G258" s="18">
        <v>194.9</v>
      </c>
    </row>
    <row r="259" spans="1:47" ht="12.75">
      <c r="A259" s="4"/>
      <c r="B259" s="14" t="s">
        <v>133</v>
      </c>
      <c r="C259" s="75" t="s">
        <v>353</v>
      </c>
      <c r="D259" s="76"/>
      <c r="E259" s="76"/>
      <c r="F259" s="4" t="s">
        <v>6</v>
      </c>
      <c r="G259" s="4" t="s">
        <v>6</v>
      </c>
      <c r="H259" s="4" t="s">
        <v>6</v>
      </c>
      <c r="I259" s="38">
        <f>SUM(I260:I260)</f>
        <v>0</v>
      </c>
      <c r="J259" s="38">
        <f>SUM(J260:J260)</f>
        <v>0</v>
      </c>
      <c r="K259" s="38">
        <f>SUM(K260:K260)</f>
        <v>0</v>
      </c>
      <c r="L259" s="29"/>
      <c r="AI259" s="29" t="s">
        <v>419</v>
      </c>
      <c r="AS259" s="38">
        <f>SUM(AJ260:AJ260)</f>
        <v>0</v>
      </c>
      <c r="AT259" s="38">
        <f>SUM(AK260:AK260)</f>
        <v>0</v>
      </c>
      <c r="AU259" s="38">
        <f>SUM(AL260:AL260)</f>
        <v>0</v>
      </c>
    </row>
    <row r="260" spans="1:62" ht="12.75">
      <c r="A260" s="5" t="s">
        <v>56</v>
      </c>
      <c r="B260" s="5" t="s">
        <v>134</v>
      </c>
      <c r="C260" s="69" t="s">
        <v>354</v>
      </c>
      <c r="D260" s="70"/>
      <c r="E260" s="70"/>
      <c r="F260" s="5" t="s">
        <v>387</v>
      </c>
      <c r="G260" s="17">
        <v>1</v>
      </c>
      <c r="H260" s="17">
        <v>0</v>
      </c>
      <c r="I260" s="17">
        <f>G260*AO260</f>
        <v>0</v>
      </c>
      <c r="J260" s="17">
        <f>G260*AP260</f>
        <v>0</v>
      </c>
      <c r="K260" s="17">
        <f>G260*H260</f>
        <v>0</v>
      </c>
      <c r="L260" s="30" t="s">
        <v>407</v>
      </c>
      <c r="Z260" s="35">
        <f>IF(AQ260="5",BJ260,0)</f>
        <v>0</v>
      </c>
      <c r="AB260" s="35">
        <f>IF(AQ260="1",BH260,0)</f>
        <v>0</v>
      </c>
      <c r="AC260" s="35">
        <f>IF(AQ260="1",BI260,0)</f>
        <v>0</v>
      </c>
      <c r="AD260" s="35">
        <f>IF(AQ260="7",BH260,0)</f>
        <v>0</v>
      </c>
      <c r="AE260" s="35">
        <f>IF(AQ260="7",BI260,0)</f>
        <v>0</v>
      </c>
      <c r="AF260" s="35">
        <f>IF(AQ260="2",BH260,0)</f>
        <v>0</v>
      </c>
      <c r="AG260" s="35">
        <f>IF(AQ260="2",BI260,0)</f>
        <v>0</v>
      </c>
      <c r="AH260" s="35">
        <f>IF(AQ260="0",BJ260,0)</f>
        <v>0</v>
      </c>
      <c r="AI260" s="29" t="s">
        <v>419</v>
      </c>
      <c r="AJ260" s="17">
        <f>IF(AN260=0,K260,0)</f>
        <v>0</v>
      </c>
      <c r="AK260" s="17">
        <f>IF(AN260=15,K260,0)</f>
        <v>0</v>
      </c>
      <c r="AL260" s="17">
        <f>IF(AN260=21,K260,0)</f>
        <v>0</v>
      </c>
      <c r="AN260" s="35">
        <v>21</v>
      </c>
      <c r="AO260" s="35">
        <f>H260*0.0112551724137931</f>
        <v>0</v>
      </c>
      <c r="AP260" s="35">
        <f>H260*(1-0.0112551724137931)</f>
        <v>0</v>
      </c>
      <c r="AQ260" s="30" t="s">
        <v>13</v>
      </c>
      <c r="AV260" s="35">
        <f>AW260+AX260</f>
        <v>0</v>
      </c>
      <c r="AW260" s="35">
        <f>G260*AO260</f>
        <v>0</v>
      </c>
      <c r="AX260" s="35">
        <f>G260*AP260</f>
        <v>0</v>
      </c>
      <c r="AY260" s="36" t="s">
        <v>435</v>
      </c>
      <c r="AZ260" s="36" t="s">
        <v>446</v>
      </c>
      <c r="BA260" s="29" t="s">
        <v>451</v>
      </c>
      <c r="BC260" s="35">
        <f>AW260+AX260</f>
        <v>0</v>
      </c>
      <c r="BD260" s="35">
        <f>H260/(100-BE260)*100</f>
        <v>0</v>
      </c>
      <c r="BE260" s="35">
        <v>0</v>
      </c>
      <c r="BF260" s="35">
        <f>260</f>
        <v>260</v>
      </c>
      <c r="BH260" s="17">
        <f>G260*AO260</f>
        <v>0</v>
      </c>
      <c r="BI260" s="17">
        <f>G260*AP260</f>
        <v>0</v>
      </c>
      <c r="BJ260" s="17">
        <f>G260*H260</f>
        <v>0</v>
      </c>
    </row>
    <row r="261" spans="3:7" ht="12.75">
      <c r="C261" s="67" t="s">
        <v>355</v>
      </c>
      <c r="D261" s="68"/>
      <c r="E261" s="68"/>
      <c r="G261" s="18">
        <v>1</v>
      </c>
    </row>
    <row r="262" spans="1:47" ht="12.75">
      <c r="A262" s="4"/>
      <c r="B262" s="14" t="s">
        <v>87</v>
      </c>
      <c r="C262" s="75" t="s">
        <v>173</v>
      </c>
      <c r="D262" s="76"/>
      <c r="E262" s="76"/>
      <c r="F262" s="4" t="s">
        <v>6</v>
      </c>
      <c r="G262" s="4" t="s">
        <v>6</v>
      </c>
      <c r="H262" s="4" t="s">
        <v>6</v>
      </c>
      <c r="I262" s="38">
        <f>SUM(I263:I273)</f>
        <v>0</v>
      </c>
      <c r="J262" s="38">
        <f>SUM(J263:J273)</f>
        <v>0</v>
      </c>
      <c r="K262" s="38">
        <f>SUM(K263:K273)</f>
        <v>0</v>
      </c>
      <c r="L262" s="29"/>
      <c r="AI262" s="29" t="s">
        <v>419</v>
      </c>
      <c r="AS262" s="38">
        <f>SUM(AJ263:AJ273)</f>
        <v>0</v>
      </c>
      <c r="AT262" s="38">
        <f>SUM(AK263:AK273)</f>
        <v>0</v>
      </c>
      <c r="AU262" s="38">
        <f>SUM(AL263:AL273)</f>
        <v>0</v>
      </c>
    </row>
    <row r="263" spans="1:62" ht="12.75">
      <c r="A263" s="5" t="s">
        <v>57</v>
      </c>
      <c r="B263" s="5" t="s">
        <v>89</v>
      </c>
      <c r="C263" s="69" t="s">
        <v>178</v>
      </c>
      <c r="D263" s="70"/>
      <c r="E263" s="70"/>
      <c r="F263" s="5" t="s">
        <v>384</v>
      </c>
      <c r="G263" s="17">
        <v>4932.038</v>
      </c>
      <c r="H263" s="17">
        <v>0</v>
      </c>
      <c r="I263" s="17">
        <f>G263*AO263</f>
        <v>0</v>
      </c>
      <c r="J263" s="17">
        <f>G263*AP263</f>
        <v>0</v>
      </c>
      <c r="K263" s="17">
        <f>G263*H263</f>
        <v>0</v>
      </c>
      <c r="L263" s="30" t="s">
        <v>407</v>
      </c>
      <c r="Z263" s="35">
        <f>IF(AQ263="5",BJ263,0)</f>
        <v>0</v>
      </c>
      <c r="AB263" s="35">
        <f>IF(AQ263="1",BH263,0)</f>
        <v>0</v>
      </c>
      <c r="AC263" s="35">
        <f>IF(AQ263="1",BI263,0)</f>
        <v>0</v>
      </c>
      <c r="AD263" s="35">
        <f>IF(AQ263="7",BH263,0)</f>
        <v>0</v>
      </c>
      <c r="AE263" s="35">
        <f>IF(AQ263="7",BI263,0)</f>
        <v>0</v>
      </c>
      <c r="AF263" s="35">
        <f>IF(AQ263="2",BH263,0)</f>
        <v>0</v>
      </c>
      <c r="AG263" s="35">
        <f>IF(AQ263="2",BI263,0)</f>
        <v>0</v>
      </c>
      <c r="AH263" s="35">
        <f>IF(AQ263="0",BJ263,0)</f>
        <v>0</v>
      </c>
      <c r="AI263" s="29" t="s">
        <v>419</v>
      </c>
      <c r="AJ263" s="17">
        <f>IF(AN263=0,K263,0)</f>
        <v>0</v>
      </c>
      <c r="AK263" s="17">
        <f>IF(AN263=15,K263,0)</f>
        <v>0</v>
      </c>
      <c r="AL263" s="17">
        <f>IF(AN263=21,K263,0)</f>
        <v>0</v>
      </c>
      <c r="AN263" s="35">
        <v>21</v>
      </c>
      <c r="AO263" s="35">
        <f>H263*0.300552478780919</f>
        <v>0</v>
      </c>
      <c r="AP263" s="35">
        <f>H263*(1-0.300552478780919)</f>
        <v>0</v>
      </c>
      <c r="AQ263" s="30" t="s">
        <v>13</v>
      </c>
      <c r="AV263" s="35">
        <f>AW263+AX263</f>
        <v>0</v>
      </c>
      <c r="AW263" s="35">
        <f>G263*AO263</f>
        <v>0</v>
      </c>
      <c r="AX263" s="35">
        <f>G263*AP263</f>
        <v>0</v>
      </c>
      <c r="AY263" s="36" t="s">
        <v>423</v>
      </c>
      <c r="AZ263" s="36" t="s">
        <v>447</v>
      </c>
      <c r="BA263" s="29" t="s">
        <v>451</v>
      </c>
      <c r="BC263" s="35">
        <f>AW263+AX263</f>
        <v>0</v>
      </c>
      <c r="BD263" s="35">
        <f>H263/(100-BE263)*100</f>
        <v>0</v>
      </c>
      <c r="BE263" s="35">
        <v>0</v>
      </c>
      <c r="BF263" s="35">
        <f>263</f>
        <v>263</v>
      </c>
      <c r="BH263" s="17">
        <f>G263*AO263</f>
        <v>0</v>
      </c>
      <c r="BI263" s="17">
        <f>G263*AP263</f>
        <v>0</v>
      </c>
      <c r="BJ263" s="17">
        <f>G263*H263</f>
        <v>0</v>
      </c>
    </row>
    <row r="264" spans="3:7" ht="12.75">
      <c r="C264" s="67" t="s">
        <v>356</v>
      </c>
      <c r="D264" s="68"/>
      <c r="E264" s="68"/>
      <c r="G264" s="18">
        <v>3437.028</v>
      </c>
    </row>
    <row r="265" spans="3:7" ht="12.75">
      <c r="C265" s="67" t="s">
        <v>357</v>
      </c>
      <c r="D265" s="68"/>
      <c r="E265" s="68"/>
      <c r="G265" s="18">
        <v>1495.01</v>
      </c>
    </row>
    <row r="266" spans="1:62" ht="12.75">
      <c r="A266" s="5" t="s">
        <v>58</v>
      </c>
      <c r="B266" s="5" t="s">
        <v>135</v>
      </c>
      <c r="C266" s="69" t="s">
        <v>358</v>
      </c>
      <c r="D266" s="70"/>
      <c r="E266" s="70"/>
      <c r="F266" s="5" t="s">
        <v>384</v>
      </c>
      <c r="G266" s="17">
        <v>1432.09</v>
      </c>
      <c r="H266" s="17">
        <v>0</v>
      </c>
      <c r="I266" s="17">
        <f>G266*AO266</f>
        <v>0</v>
      </c>
      <c r="J266" s="17">
        <f>G266*AP266</f>
        <v>0</v>
      </c>
      <c r="K266" s="17">
        <f>G266*H266</f>
        <v>0</v>
      </c>
      <c r="L266" s="30" t="s">
        <v>407</v>
      </c>
      <c r="Z266" s="35">
        <f>IF(AQ266="5",BJ266,0)</f>
        <v>0</v>
      </c>
      <c r="AB266" s="35">
        <f>IF(AQ266="1",BH266,0)</f>
        <v>0</v>
      </c>
      <c r="AC266" s="35">
        <f>IF(AQ266="1",BI266,0)</f>
        <v>0</v>
      </c>
      <c r="AD266" s="35">
        <f>IF(AQ266="7",BH266,0)</f>
        <v>0</v>
      </c>
      <c r="AE266" s="35">
        <f>IF(AQ266="7",BI266,0)</f>
        <v>0</v>
      </c>
      <c r="AF266" s="35">
        <f>IF(AQ266="2",BH266,0)</f>
        <v>0</v>
      </c>
      <c r="AG266" s="35">
        <f>IF(AQ266="2",BI266,0)</f>
        <v>0</v>
      </c>
      <c r="AH266" s="35">
        <f>IF(AQ266="0",BJ266,0)</f>
        <v>0</v>
      </c>
      <c r="AI266" s="29" t="s">
        <v>419</v>
      </c>
      <c r="AJ266" s="17">
        <f>IF(AN266=0,K266,0)</f>
        <v>0</v>
      </c>
      <c r="AK266" s="17">
        <f>IF(AN266=15,K266,0)</f>
        <v>0</v>
      </c>
      <c r="AL266" s="17">
        <f>IF(AN266=21,K266,0)</f>
        <v>0</v>
      </c>
      <c r="AN266" s="35">
        <v>21</v>
      </c>
      <c r="AO266" s="35">
        <f>H266*0.140594951879409</f>
        <v>0</v>
      </c>
      <c r="AP266" s="35">
        <f>H266*(1-0.140594951879409)</f>
        <v>0</v>
      </c>
      <c r="AQ266" s="30" t="s">
        <v>13</v>
      </c>
      <c r="AV266" s="35">
        <f>AW266+AX266</f>
        <v>0</v>
      </c>
      <c r="AW266" s="35">
        <f>G266*AO266</f>
        <v>0</v>
      </c>
      <c r="AX266" s="35">
        <f>G266*AP266</f>
        <v>0</v>
      </c>
      <c r="AY266" s="36" t="s">
        <v>423</v>
      </c>
      <c r="AZ266" s="36" t="s">
        <v>447</v>
      </c>
      <c r="BA266" s="29" t="s">
        <v>451</v>
      </c>
      <c r="BC266" s="35">
        <f>AW266+AX266</f>
        <v>0</v>
      </c>
      <c r="BD266" s="35">
        <f>H266/(100-BE266)*100</f>
        <v>0</v>
      </c>
      <c r="BE266" s="35">
        <v>0</v>
      </c>
      <c r="BF266" s="35">
        <f>266</f>
        <v>266</v>
      </c>
      <c r="BH266" s="17">
        <f>G266*AO266</f>
        <v>0</v>
      </c>
      <c r="BI266" s="17">
        <f>G266*AP266</f>
        <v>0</v>
      </c>
      <c r="BJ266" s="17">
        <f>G266*H266</f>
        <v>0</v>
      </c>
    </row>
    <row r="267" spans="3:7" ht="12.75">
      <c r="C267" s="67" t="s">
        <v>359</v>
      </c>
      <c r="D267" s="68"/>
      <c r="E267" s="68"/>
      <c r="G267" s="18">
        <v>1432.09</v>
      </c>
    </row>
    <row r="268" spans="1:62" ht="12.75">
      <c r="A268" s="5" t="s">
        <v>59</v>
      </c>
      <c r="B268" s="5" t="s">
        <v>136</v>
      </c>
      <c r="C268" s="69" t="s">
        <v>360</v>
      </c>
      <c r="D268" s="70"/>
      <c r="E268" s="70"/>
      <c r="F268" s="5" t="s">
        <v>384</v>
      </c>
      <c r="G268" s="17">
        <v>3499.95</v>
      </c>
      <c r="H268" s="17">
        <v>0</v>
      </c>
      <c r="I268" s="17">
        <f>G268*AO268</f>
        <v>0</v>
      </c>
      <c r="J268" s="17">
        <f>G268*AP268</f>
        <v>0</v>
      </c>
      <c r="K268" s="17">
        <f>G268*H268</f>
        <v>0</v>
      </c>
      <c r="L268" s="30" t="s">
        <v>407</v>
      </c>
      <c r="Z268" s="35">
        <f>IF(AQ268="5",BJ268,0)</f>
        <v>0</v>
      </c>
      <c r="AB268" s="35">
        <f>IF(AQ268="1",BH268,0)</f>
        <v>0</v>
      </c>
      <c r="AC268" s="35">
        <f>IF(AQ268="1",BI268,0)</f>
        <v>0</v>
      </c>
      <c r="AD268" s="35">
        <f>IF(AQ268="7",BH268,0)</f>
        <v>0</v>
      </c>
      <c r="AE268" s="35">
        <f>IF(AQ268="7",BI268,0)</f>
        <v>0</v>
      </c>
      <c r="AF268" s="35">
        <f>IF(AQ268="2",BH268,0)</f>
        <v>0</v>
      </c>
      <c r="AG268" s="35">
        <f>IF(AQ268="2",BI268,0)</f>
        <v>0</v>
      </c>
      <c r="AH268" s="35">
        <f>IF(AQ268="0",BJ268,0)</f>
        <v>0</v>
      </c>
      <c r="AI268" s="29" t="s">
        <v>419</v>
      </c>
      <c r="AJ268" s="17">
        <f>IF(AN268=0,K268,0)</f>
        <v>0</v>
      </c>
      <c r="AK268" s="17">
        <f>IF(AN268=15,K268,0)</f>
        <v>0</v>
      </c>
      <c r="AL268" s="17">
        <f>IF(AN268=21,K268,0)</f>
        <v>0</v>
      </c>
      <c r="AN268" s="35">
        <v>21</v>
      </c>
      <c r="AO268" s="35">
        <f>H268*0.238387709394266</f>
        <v>0</v>
      </c>
      <c r="AP268" s="35">
        <f>H268*(1-0.238387709394266)</f>
        <v>0</v>
      </c>
      <c r="AQ268" s="30" t="s">
        <v>13</v>
      </c>
      <c r="AV268" s="35">
        <f>AW268+AX268</f>
        <v>0</v>
      </c>
      <c r="AW268" s="35">
        <f>G268*AO268</f>
        <v>0</v>
      </c>
      <c r="AX268" s="35">
        <f>G268*AP268</f>
        <v>0</v>
      </c>
      <c r="AY268" s="36" t="s">
        <v>423</v>
      </c>
      <c r="AZ268" s="36" t="s">
        <v>447</v>
      </c>
      <c r="BA268" s="29" t="s">
        <v>451</v>
      </c>
      <c r="BC268" s="35">
        <f>AW268+AX268</f>
        <v>0</v>
      </c>
      <c r="BD268" s="35">
        <f>H268/(100-BE268)*100</f>
        <v>0</v>
      </c>
      <c r="BE268" s="35">
        <v>0</v>
      </c>
      <c r="BF268" s="35">
        <f>268</f>
        <v>268</v>
      </c>
      <c r="BH268" s="17">
        <f>G268*AO268</f>
        <v>0</v>
      </c>
      <c r="BI268" s="17">
        <f>G268*AP268</f>
        <v>0</v>
      </c>
      <c r="BJ268" s="17">
        <f>G268*H268</f>
        <v>0</v>
      </c>
    </row>
    <row r="269" spans="3:7" ht="12.75">
      <c r="C269" s="67" t="s">
        <v>361</v>
      </c>
      <c r="D269" s="68"/>
      <c r="E269" s="68"/>
      <c r="G269" s="18">
        <v>2004.94</v>
      </c>
    </row>
    <row r="270" spans="3:7" ht="12.75">
      <c r="C270" s="67" t="s">
        <v>362</v>
      </c>
      <c r="D270" s="68"/>
      <c r="E270" s="68"/>
      <c r="G270" s="18">
        <v>1495.01</v>
      </c>
    </row>
    <row r="271" spans="1:62" ht="12.75">
      <c r="A271" s="5" t="s">
        <v>60</v>
      </c>
      <c r="B271" s="5" t="s">
        <v>137</v>
      </c>
      <c r="C271" s="69" t="s">
        <v>363</v>
      </c>
      <c r="D271" s="70"/>
      <c r="E271" s="70"/>
      <c r="F271" s="5" t="s">
        <v>384</v>
      </c>
      <c r="G271" s="17">
        <v>4932.038</v>
      </c>
      <c r="H271" s="17">
        <v>0</v>
      </c>
      <c r="I271" s="17">
        <f>G271*AO271</f>
        <v>0</v>
      </c>
      <c r="J271" s="17">
        <f>G271*AP271</f>
        <v>0</v>
      </c>
      <c r="K271" s="17">
        <f>G271*H271</f>
        <v>0</v>
      </c>
      <c r="L271" s="30" t="s">
        <v>407</v>
      </c>
      <c r="Z271" s="35">
        <f>IF(AQ271="5",BJ271,0)</f>
        <v>0</v>
      </c>
      <c r="AB271" s="35">
        <f>IF(AQ271="1",BH271,0)</f>
        <v>0</v>
      </c>
      <c r="AC271" s="35">
        <f>IF(AQ271="1",BI271,0)</f>
        <v>0</v>
      </c>
      <c r="AD271" s="35">
        <f>IF(AQ271="7",BH271,0)</f>
        <v>0</v>
      </c>
      <c r="AE271" s="35">
        <f>IF(AQ271="7",BI271,0)</f>
        <v>0</v>
      </c>
      <c r="AF271" s="35">
        <f>IF(AQ271="2",BH271,0)</f>
        <v>0</v>
      </c>
      <c r="AG271" s="35">
        <f>IF(AQ271="2",BI271,0)</f>
        <v>0</v>
      </c>
      <c r="AH271" s="35">
        <f>IF(AQ271="0",BJ271,0)</f>
        <v>0</v>
      </c>
      <c r="AI271" s="29" t="s">
        <v>419</v>
      </c>
      <c r="AJ271" s="17">
        <f>IF(AN271=0,K271,0)</f>
        <v>0</v>
      </c>
      <c r="AK271" s="17">
        <f>IF(AN271=15,K271,0)</f>
        <v>0</v>
      </c>
      <c r="AL271" s="17">
        <f>IF(AN271=21,K271,0)</f>
        <v>0</v>
      </c>
      <c r="AN271" s="35">
        <v>21</v>
      </c>
      <c r="AO271" s="35">
        <f>H271*0.00318021190932468</f>
        <v>0</v>
      </c>
      <c r="AP271" s="35">
        <f>H271*(1-0.00318021190932468)</f>
        <v>0</v>
      </c>
      <c r="AQ271" s="30" t="s">
        <v>13</v>
      </c>
      <c r="AV271" s="35">
        <f>AW271+AX271</f>
        <v>0</v>
      </c>
      <c r="AW271" s="35">
        <f>G271*AO271</f>
        <v>0</v>
      </c>
      <c r="AX271" s="35">
        <f>G271*AP271</f>
        <v>0</v>
      </c>
      <c r="AY271" s="36" t="s">
        <v>423</v>
      </c>
      <c r="AZ271" s="36" t="s">
        <v>447</v>
      </c>
      <c r="BA271" s="29" t="s">
        <v>451</v>
      </c>
      <c r="BC271" s="35">
        <f>AW271+AX271</f>
        <v>0</v>
      </c>
      <c r="BD271" s="35">
        <f>H271/(100-BE271)*100</f>
        <v>0</v>
      </c>
      <c r="BE271" s="35">
        <v>0</v>
      </c>
      <c r="BF271" s="35">
        <f>271</f>
        <v>271</v>
      </c>
      <c r="BH271" s="17">
        <f>G271*AO271</f>
        <v>0</v>
      </c>
      <c r="BI271" s="17">
        <f>G271*AP271</f>
        <v>0</v>
      </c>
      <c r="BJ271" s="17">
        <f>G271*H271</f>
        <v>0</v>
      </c>
    </row>
    <row r="272" spans="3:7" ht="12.75">
      <c r="C272" s="67" t="s">
        <v>364</v>
      </c>
      <c r="D272" s="68"/>
      <c r="E272" s="68"/>
      <c r="G272" s="18">
        <v>4932.038</v>
      </c>
    </row>
    <row r="273" spans="1:62" ht="12.75">
      <c r="A273" s="5" t="s">
        <v>61</v>
      </c>
      <c r="B273" s="5" t="s">
        <v>138</v>
      </c>
      <c r="C273" s="69" t="s">
        <v>365</v>
      </c>
      <c r="D273" s="70"/>
      <c r="E273" s="70"/>
      <c r="F273" s="5" t="s">
        <v>384</v>
      </c>
      <c r="G273" s="17">
        <v>4932.038</v>
      </c>
      <c r="H273" s="17">
        <v>0</v>
      </c>
      <c r="I273" s="17">
        <f>G273*AO273</f>
        <v>0</v>
      </c>
      <c r="J273" s="17">
        <f>G273*AP273</f>
        <v>0</v>
      </c>
      <c r="K273" s="17">
        <f>G273*H273</f>
        <v>0</v>
      </c>
      <c r="L273" s="30" t="s">
        <v>407</v>
      </c>
      <c r="Z273" s="35">
        <f>IF(AQ273="5",BJ273,0)</f>
        <v>0</v>
      </c>
      <c r="AB273" s="35">
        <f>IF(AQ273="1",BH273,0)</f>
        <v>0</v>
      </c>
      <c r="AC273" s="35">
        <f>IF(AQ273="1",BI273,0)</f>
        <v>0</v>
      </c>
      <c r="AD273" s="35">
        <f>IF(AQ273="7",BH273,0)</f>
        <v>0</v>
      </c>
      <c r="AE273" s="35">
        <f>IF(AQ273="7",BI273,0)</f>
        <v>0</v>
      </c>
      <c r="AF273" s="35">
        <f>IF(AQ273="2",BH273,0)</f>
        <v>0</v>
      </c>
      <c r="AG273" s="35">
        <f>IF(AQ273="2",BI273,0)</f>
        <v>0</v>
      </c>
      <c r="AH273" s="35">
        <f>IF(AQ273="0",BJ273,0)</f>
        <v>0</v>
      </c>
      <c r="AI273" s="29" t="s">
        <v>419</v>
      </c>
      <c r="AJ273" s="17">
        <f>IF(AN273=0,K273,0)</f>
        <v>0</v>
      </c>
      <c r="AK273" s="17">
        <f>IF(AN273=15,K273,0)</f>
        <v>0</v>
      </c>
      <c r="AL273" s="17">
        <f>IF(AN273=21,K273,0)</f>
        <v>0</v>
      </c>
      <c r="AN273" s="35">
        <v>21</v>
      </c>
      <c r="AO273" s="35">
        <f>H273*0.00500000022528439</f>
        <v>0</v>
      </c>
      <c r="AP273" s="35">
        <f>H273*(1-0.00500000022528439)</f>
        <v>0</v>
      </c>
      <c r="AQ273" s="30" t="s">
        <v>13</v>
      </c>
      <c r="AV273" s="35">
        <f>AW273+AX273</f>
        <v>0</v>
      </c>
      <c r="AW273" s="35">
        <f>G273*AO273</f>
        <v>0</v>
      </c>
      <c r="AX273" s="35">
        <f>G273*AP273</f>
        <v>0</v>
      </c>
      <c r="AY273" s="36" t="s">
        <v>423</v>
      </c>
      <c r="AZ273" s="36" t="s">
        <v>447</v>
      </c>
      <c r="BA273" s="29" t="s">
        <v>451</v>
      </c>
      <c r="BC273" s="35">
        <f>AW273+AX273</f>
        <v>0</v>
      </c>
      <c r="BD273" s="35">
        <f>H273/(100-BE273)*100</f>
        <v>0</v>
      </c>
      <c r="BE273" s="35">
        <v>0</v>
      </c>
      <c r="BF273" s="35">
        <f>273</f>
        <v>273</v>
      </c>
      <c r="BH273" s="17">
        <f>G273*AO273</f>
        <v>0</v>
      </c>
      <c r="BI273" s="17">
        <f>G273*AP273</f>
        <v>0</v>
      </c>
      <c r="BJ273" s="17">
        <f>G273*H273</f>
        <v>0</v>
      </c>
    </row>
    <row r="274" spans="3:7" ht="12.75">
      <c r="C274" s="67" t="s">
        <v>364</v>
      </c>
      <c r="D274" s="68"/>
      <c r="E274" s="68"/>
      <c r="G274" s="18">
        <v>4932.038</v>
      </c>
    </row>
    <row r="275" spans="1:47" ht="12.75">
      <c r="A275" s="4"/>
      <c r="B275" s="14" t="s">
        <v>93</v>
      </c>
      <c r="C275" s="75" t="s">
        <v>184</v>
      </c>
      <c r="D275" s="76"/>
      <c r="E275" s="76"/>
      <c r="F275" s="4" t="s">
        <v>6</v>
      </c>
      <c r="G275" s="4" t="s">
        <v>6</v>
      </c>
      <c r="H275" s="4" t="s">
        <v>6</v>
      </c>
      <c r="I275" s="38">
        <f>SUM(I276:I276)</f>
        <v>0</v>
      </c>
      <c r="J275" s="38">
        <f>SUM(J276:J276)</f>
        <v>0</v>
      </c>
      <c r="K275" s="38">
        <f>SUM(K276:K276)</f>
        <v>0</v>
      </c>
      <c r="L275" s="29"/>
      <c r="AI275" s="29" t="s">
        <v>419</v>
      </c>
      <c r="AS275" s="38">
        <f>SUM(AJ276:AJ276)</f>
        <v>0</v>
      </c>
      <c r="AT275" s="38">
        <f>SUM(AK276:AK276)</f>
        <v>0</v>
      </c>
      <c r="AU275" s="38">
        <f>SUM(AL276:AL276)</f>
        <v>0</v>
      </c>
    </row>
    <row r="276" spans="1:62" ht="12.75">
      <c r="A276" s="5" t="s">
        <v>62</v>
      </c>
      <c r="B276" s="5" t="s">
        <v>94</v>
      </c>
      <c r="C276" s="69" t="s">
        <v>185</v>
      </c>
      <c r="D276" s="70"/>
      <c r="E276" s="70"/>
      <c r="F276" s="5" t="s">
        <v>384</v>
      </c>
      <c r="G276" s="17">
        <v>1495.01</v>
      </c>
      <c r="H276" s="17">
        <v>0</v>
      </c>
      <c r="I276" s="17">
        <f>G276*AO276</f>
        <v>0</v>
      </c>
      <c r="J276" s="17">
        <f>G276*AP276</f>
        <v>0</v>
      </c>
      <c r="K276" s="17">
        <f>G276*H276</f>
        <v>0</v>
      </c>
      <c r="L276" s="30" t="s">
        <v>407</v>
      </c>
      <c r="Z276" s="35">
        <f>IF(AQ276="5",BJ276,0)</f>
        <v>0</v>
      </c>
      <c r="AB276" s="35">
        <f>IF(AQ276="1",BH276,0)</f>
        <v>0</v>
      </c>
      <c r="AC276" s="35">
        <f>IF(AQ276="1",BI276,0)</f>
        <v>0</v>
      </c>
      <c r="AD276" s="35">
        <f>IF(AQ276="7",BH276,0)</f>
        <v>0</v>
      </c>
      <c r="AE276" s="35">
        <f>IF(AQ276="7",BI276,0)</f>
        <v>0</v>
      </c>
      <c r="AF276" s="35">
        <f>IF(AQ276="2",BH276,0)</f>
        <v>0</v>
      </c>
      <c r="AG276" s="35">
        <f>IF(AQ276="2",BI276,0)</f>
        <v>0</v>
      </c>
      <c r="AH276" s="35">
        <f>IF(AQ276="0",BJ276,0)</f>
        <v>0</v>
      </c>
      <c r="AI276" s="29" t="s">
        <v>419</v>
      </c>
      <c r="AJ276" s="17">
        <f>IF(AN276=0,K276,0)</f>
        <v>0</v>
      </c>
      <c r="AK276" s="17">
        <f>IF(AN276=15,K276,0)</f>
        <v>0</v>
      </c>
      <c r="AL276" s="17">
        <f>IF(AN276=21,K276,0)</f>
        <v>0</v>
      </c>
      <c r="AN276" s="35">
        <v>21</v>
      </c>
      <c r="AO276" s="35">
        <f>H276*0.0149469126997195</f>
        <v>0</v>
      </c>
      <c r="AP276" s="35">
        <f>H276*(1-0.0149469126997195)</f>
        <v>0</v>
      </c>
      <c r="AQ276" s="30" t="s">
        <v>7</v>
      </c>
      <c r="AV276" s="35">
        <f>AW276+AX276</f>
        <v>0</v>
      </c>
      <c r="AW276" s="35">
        <f>G276*AO276</f>
        <v>0</v>
      </c>
      <c r="AX276" s="35">
        <f>G276*AP276</f>
        <v>0</v>
      </c>
      <c r="AY276" s="36" t="s">
        <v>425</v>
      </c>
      <c r="AZ276" s="36" t="s">
        <v>448</v>
      </c>
      <c r="BA276" s="29" t="s">
        <v>451</v>
      </c>
      <c r="BC276" s="35">
        <f>AW276+AX276</f>
        <v>0</v>
      </c>
      <c r="BD276" s="35">
        <f>H276/(100-BE276)*100</f>
        <v>0</v>
      </c>
      <c r="BE276" s="35">
        <v>0</v>
      </c>
      <c r="BF276" s="35">
        <f>276</f>
        <v>276</v>
      </c>
      <c r="BH276" s="17">
        <f>G276*AO276</f>
        <v>0</v>
      </c>
      <c r="BI276" s="17">
        <f>G276*AP276</f>
        <v>0</v>
      </c>
      <c r="BJ276" s="17">
        <f>G276*H276</f>
        <v>0</v>
      </c>
    </row>
    <row r="277" spans="3:7" ht="12.75">
      <c r="C277" s="67" t="s">
        <v>366</v>
      </c>
      <c r="D277" s="68"/>
      <c r="E277" s="68"/>
      <c r="G277" s="18">
        <v>1495.01</v>
      </c>
    </row>
    <row r="278" spans="1:47" ht="12.75">
      <c r="A278" s="4"/>
      <c r="B278" s="14" t="s">
        <v>95</v>
      </c>
      <c r="C278" s="75" t="s">
        <v>187</v>
      </c>
      <c r="D278" s="76"/>
      <c r="E278" s="76"/>
      <c r="F278" s="4" t="s">
        <v>6</v>
      </c>
      <c r="G278" s="4" t="s">
        <v>6</v>
      </c>
      <c r="H278" s="4" t="s">
        <v>6</v>
      </c>
      <c r="I278" s="38">
        <f>SUM(I279:I279)</f>
        <v>0</v>
      </c>
      <c r="J278" s="38">
        <f>SUM(J279:J279)</f>
        <v>0</v>
      </c>
      <c r="K278" s="38">
        <f>SUM(K279:K279)</f>
        <v>0</v>
      </c>
      <c r="L278" s="29"/>
      <c r="AI278" s="29" t="s">
        <v>419</v>
      </c>
      <c r="AS278" s="38">
        <f>SUM(AJ279:AJ279)</f>
        <v>0</v>
      </c>
      <c r="AT278" s="38">
        <f>SUM(AK279:AK279)</f>
        <v>0</v>
      </c>
      <c r="AU278" s="38">
        <f>SUM(AL279:AL279)</f>
        <v>0</v>
      </c>
    </row>
    <row r="279" spans="1:62" ht="12.75">
      <c r="A279" s="5" t="s">
        <v>63</v>
      </c>
      <c r="B279" s="5" t="s">
        <v>139</v>
      </c>
      <c r="C279" s="69" t="s">
        <v>367</v>
      </c>
      <c r="D279" s="70"/>
      <c r="E279" s="70"/>
      <c r="F279" s="5" t="s">
        <v>384</v>
      </c>
      <c r="G279" s="17">
        <v>10.8</v>
      </c>
      <c r="H279" s="17">
        <v>0</v>
      </c>
      <c r="I279" s="17">
        <f>G279*AO279</f>
        <v>0</v>
      </c>
      <c r="J279" s="17">
        <f>G279*AP279</f>
        <v>0</v>
      </c>
      <c r="K279" s="17">
        <f>G279*H279</f>
        <v>0</v>
      </c>
      <c r="L279" s="30" t="s">
        <v>407</v>
      </c>
      <c r="Z279" s="35">
        <f>IF(AQ279="5",BJ279,0)</f>
        <v>0</v>
      </c>
      <c r="AB279" s="35">
        <f>IF(AQ279="1",BH279,0)</f>
        <v>0</v>
      </c>
      <c r="AC279" s="35">
        <f>IF(AQ279="1",BI279,0)</f>
        <v>0</v>
      </c>
      <c r="AD279" s="35">
        <f>IF(AQ279="7",BH279,0)</f>
        <v>0</v>
      </c>
      <c r="AE279" s="35">
        <f>IF(AQ279="7",BI279,0)</f>
        <v>0</v>
      </c>
      <c r="AF279" s="35">
        <f>IF(AQ279="2",BH279,0)</f>
        <v>0</v>
      </c>
      <c r="AG279" s="35">
        <f>IF(AQ279="2",BI279,0)</f>
        <v>0</v>
      </c>
      <c r="AH279" s="35">
        <f>IF(AQ279="0",BJ279,0)</f>
        <v>0</v>
      </c>
      <c r="AI279" s="29" t="s">
        <v>419</v>
      </c>
      <c r="AJ279" s="17">
        <f>IF(AN279=0,K279,0)</f>
        <v>0</v>
      </c>
      <c r="AK279" s="17">
        <f>IF(AN279=15,K279,0)</f>
        <v>0</v>
      </c>
      <c r="AL279" s="17">
        <f>IF(AN279=21,K279,0)</f>
        <v>0</v>
      </c>
      <c r="AN279" s="35">
        <v>21</v>
      </c>
      <c r="AO279" s="35">
        <f>H279*0.115620437956204</f>
        <v>0</v>
      </c>
      <c r="AP279" s="35">
        <f>H279*(1-0.115620437956204)</f>
        <v>0</v>
      </c>
      <c r="AQ279" s="30" t="s">
        <v>7</v>
      </c>
      <c r="AV279" s="35">
        <f>AW279+AX279</f>
        <v>0</v>
      </c>
      <c r="AW279" s="35">
        <f>G279*AO279</f>
        <v>0</v>
      </c>
      <c r="AX279" s="35">
        <f>G279*AP279</f>
        <v>0</v>
      </c>
      <c r="AY279" s="36" t="s">
        <v>426</v>
      </c>
      <c r="AZ279" s="36" t="s">
        <v>448</v>
      </c>
      <c r="BA279" s="29" t="s">
        <v>451</v>
      </c>
      <c r="BC279" s="35">
        <f>AW279+AX279</f>
        <v>0</v>
      </c>
      <c r="BD279" s="35">
        <f>H279/(100-BE279)*100</f>
        <v>0</v>
      </c>
      <c r="BE279" s="35">
        <v>0</v>
      </c>
      <c r="BF279" s="35">
        <f>279</f>
        <v>279</v>
      </c>
      <c r="BH279" s="17">
        <f>G279*AO279</f>
        <v>0</v>
      </c>
      <c r="BI279" s="17">
        <f>G279*AP279</f>
        <v>0</v>
      </c>
      <c r="BJ279" s="17">
        <f>G279*H279</f>
        <v>0</v>
      </c>
    </row>
    <row r="280" spans="3:7" ht="12.75">
      <c r="C280" s="67" t="s">
        <v>368</v>
      </c>
      <c r="D280" s="68"/>
      <c r="E280" s="68"/>
      <c r="G280" s="18">
        <v>10.8</v>
      </c>
    </row>
    <row r="281" spans="1:47" ht="12.75">
      <c r="A281" s="4"/>
      <c r="B281" s="14" t="s">
        <v>100</v>
      </c>
      <c r="C281" s="75" t="s">
        <v>196</v>
      </c>
      <c r="D281" s="76"/>
      <c r="E281" s="76"/>
      <c r="F281" s="4" t="s">
        <v>6</v>
      </c>
      <c r="G281" s="4" t="s">
        <v>6</v>
      </c>
      <c r="H281" s="4" t="s">
        <v>6</v>
      </c>
      <c r="I281" s="38">
        <f>SUM(I282:I282)</f>
        <v>0</v>
      </c>
      <c r="J281" s="38">
        <f>SUM(J282:J282)</f>
        <v>0</v>
      </c>
      <c r="K281" s="38">
        <f>SUM(K282:K282)</f>
        <v>0</v>
      </c>
      <c r="L281" s="29"/>
      <c r="AI281" s="29" t="s">
        <v>419</v>
      </c>
      <c r="AS281" s="38">
        <f>SUM(AJ282:AJ282)</f>
        <v>0</v>
      </c>
      <c r="AT281" s="38">
        <f>SUM(AK282:AK282)</f>
        <v>0</v>
      </c>
      <c r="AU281" s="38">
        <f>SUM(AL282:AL282)</f>
        <v>0</v>
      </c>
    </row>
    <row r="282" spans="1:62" ht="12.75">
      <c r="A282" s="5" t="s">
        <v>64</v>
      </c>
      <c r="B282" s="5" t="s">
        <v>140</v>
      </c>
      <c r="C282" s="69" t="s">
        <v>369</v>
      </c>
      <c r="D282" s="70"/>
      <c r="E282" s="70"/>
      <c r="F282" s="5" t="s">
        <v>384</v>
      </c>
      <c r="G282" s="17">
        <v>3437.028</v>
      </c>
      <c r="H282" s="17">
        <v>0</v>
      </c>
      <c r="I282" s="17">
        <f>G282*AO282</f>
        <v>0</v>
      </c>
      <c r="J282" s="17">
        <f>G282*AP282</f>
        <v>0</v>
      </c>
      <c r="K282" s="17">
        <f>G282*H282</f>
        <v>0</v>
      </c>
      <c r="L282" s="30" t="s">
        <v>407</v>
      </c>
      <c r="Z282" s="35">
        <f>IF(AQ282="5",BJ282,0)</f>
        <v>0</v>
      </c>
      <c r="AB282" s="35">
        <f>IF(AQ282="1",BH282,0)</f>
        <v>0</v>
      </c>
      <c r="AC282" s="35">
        <f>IF(AQ282="1",BI282,0)</f>
        <v>0</v>
      </c>
      <c r="AD282" s="35">
        <f>IF(AQ282="7",BH282,0)</f>
        <v>0</v>
      </c>
      <c r="AE282" s="35">
        <f>IF(AQ282="7",BI282,0)</f>
        <v>0</v>
      </c>
      <c r="AF282" s="35">
        <f>IF(AQ282="2",BH282,0)</f>
        <v>0</v>
      </c>
      <c r="AG282" s="35">
        <f>IF(AQ282="2",BI282,0)</f>
        <v>0</v>
      </c>
      <c r="AH282" s="35">
        <f>IF(AQ282="0",BJ282,0)</f>
        <v>0</v>
      </c>
      <c r="AI282" s="29" t="s">
        <v>419</v>
      </c>
      <c r="AJ282" s="17">
        <f>IF(AN282=0,K282,0)</f>
        <v>0</v>
      </c>
      <c r="AK282" s="17">
        <f>IF(AN282=15,K282,0)</f>
        <v>0</v>
      </c>
      <c r="AL282" s="17">
        <f>IF(AN282=21,K282,0)</f>
        <v>0</v>
      </c>
      <c r="AN282" s="35">
        <v>21</v>
      </c>
      <c r="AO282" s="35">
        <f>H282*0</f>
        <v>0</v>
      </c>
      <c r="AP282" s="35">
        <f>H282*(1-0)</f>
        <v>0</v>
      </c>
      <c r="AQ282" s="30" t="s">
        <v>7</v>
      </c>
      <c r="AV282" s="35">
        <f>AW282+AX282</f>
        <v>0</v>
      </c>
      <c r="AW282" s="35">
        <f>G282*AO282</f>
        <v>0</v>
      </c>
      <c r="AX282" s="35">
        <f>G282*AP282</f>
        <v>0</v>
      </c>
      <c r="AY282" s="36" t="s">
        <v>427</v>
      </c>
      <c r="AZ282" s="36" t="s">
        <v>448</v>
      </c>
      <c r="BA282" s="29" t="s">
        <v>451</v>
      </c>
      <c r="BC282" s="35">
        <f>AW282+AX282</f>
        <v>0</v>
      </c>
      <c r="BD282" s="35">
        <f>H282/(100-BE282)*100</f>
        <v>0</v>
      </c>
      <c r="BE282" s="35">
        <v>0</v>
      </c>
      <c r="BF282" s="35">
        <f>282</f>
        <v>282</v>
      </c>
      <c r="BH282" s="17">
        <f>G282*AO282</f>
        <v>0</v>
      </c>
      <c r="BI282" s="17">
        <f>G282*AP282</f>
        <v>0</v>
      </c>
      <c r="BJ282" s="17">
        <f>G282*H282</f>
        <v>0</v>
      </c>
    </row>
    <row r="283" spans="3:7" ht="12.75">
      <c r="C283" s="67" t="s">
        <v>370</v>
      </c>
      <c r="D283" s="68"/>
      <c r="E283" s="68"/>
      <c r="G283" s="18">
        <v>3437.028</v>
      </c>
    </row>
    <row r="284" spans="1:47" ht="12.75">
      <c r="A284" s="4"/>
      <c r="B284" s="14" t="s">
        <v>103</v>
      </c>
      <c r="C284" s="75" t="s">
        <v>201</v>
      </c>
      <c r="D284" s="76"/>
      <c r="E284" s="76"/>
      <c r="F284" s="4" t="s">
        <v>6</v>
      </c>
      <c r="G284" s="4" t="s">
        <v>6</v>
      </c>
      <c r="H284" s="4" t="s">
        <v>6</v>
      </c>
      <c r="I284" s="38">
        <f>SUM(I285:I285)</f>
        <v>0</v>
      </c>
      <c r="J284" s="38">
        <f>SUM(J285:J285)</f>
        <v>0</v>
      </c>
      <c r="K284" s="38">
        <f>SUM(K285:K285)</f>
        <v>0</v>
      </c>
      <c r="L284" s="29"/>
      <c r="AI284" s="29" t="s">
        <v>419</v>
      </c>
      <c r="AS284" s="38">
        <f>SUM(AJ285:AJ285)</f>
        <v>0</v>
      </c>
      <c r="AT284" s="38">
        <f>SUM(AK285:AK285)</f>
        <v>0</v>
      </c>
      <c r="AU284" s="38">
        <f>SUM(AL285:AL285)</f>
        <v>0</v>
      </c>
    </row>
    <row r="285" spans="1:62" ht="12.75">
      <c r="A285" s="5" t="s">
        <v>65</v>
      </c>
      <c r="B285" s="5" t="s">
        <v>141</v>
      </c>
      <c r="C285" s="69" t="s">
        <v>371</v>
      </c>
      <c r="D285" s="70"/>
      <c r="E285" s="70"/>
      <c r="F285" s="5" t="s">
        <v>383</v>
      </c>
      <c r="G285" s="17">
        <v>14.301</v>
      </c>
      <c r="H285" s="17">
        <v>0</v>
      </c>
      <c r="I285" s="17">
        <f>G285*AO285</f>
        <v>0</v>
      </c>
      <c r="J285" s="17">
        <f>G285*AP285</f>
        <v>0</v>
      </c>
      <c r="K285" s="17">
        <f>G285*H285</f>
        <v>0</v>
      </c>
      <c r="L285" s="30" t="s">
        <v>407</v>
      </c>
      <c r="Z285" s="35">
        <f>IF(AQ285="5",BJ285,0)</f>
        <v>0</v>
      </c>
      <c r="AB285" s="35">
        <f>IF(AQ285="1",BH285,0)</f>
        <v>0</v>
      </c>
      <c r="AC285" s="35">
        <f>IF(AQ285="1",BI285,0)</f>
        <v>0</v>
      </c>
      <c r="AD285" s="35">
        <f>IF(AQ285="7",BH285,0)</f>
        <v>0</v>
      </c>
      <c r="AE285" s="35">
        <f>IF(AQ285="7",BI285,0)</f>
        <v>0</v>
      </c>
      <c r="AF285" s="35">
        <f>IF(AQ285="2",BH285,0)</f>
        <v>0</v>
      </c>
      <c r="AG285" s="35">
        <f>IF(AQ285="2",BI285,0)</f>
        <v>0</v>
      </c>
      <c r="AH285" s="35">
        <f>IF(AQ285="0",BJ285,0)</f>
        <v>0</v>
      </c>
      <c r="AI285" s="29" t="s">
        <v>419</v>
      </c>
      <c r="AJ285" s="17">
        <f>IF(AN285=0,K285,0)</f>
        <v>0</v>
      </c>
      <c r="AK285" s="17">
        <f>IF(AN285=15,K285,0)</f>
        <v>0</v>
      </c>
      <c r="AL285" s="17">
        <f>IF(AN285=21,K285,0)</f>
        <v>0</v>
      </c>
      <c r="AN285" s="35">
        <v>21</v>
      </c>
      <c r="AO285" s="35">
        <f>H285*0</f>
        <v>0</v>
      </c>
      <c r="AP285" s="35">
        <f>H285*(1-0)</f>
        <v>0</v>
      </c>
      <c r="AQ285" s="30" t="s">
        <v>11</v>
      </c>
      <c r="AV285" s="35">
        <f>AW285+AX285</f>
        <v>0</v>
      </c>
      <c r="AW285" s="35">
        <f>G285*AO285</f>
        <v>0</v>
      </c>
      <c r="AX285" s="35">
        <f>G285*AP285</f>
        <v>0</v>
      </c>
      <c r="AY285" s="36" t="s">
        <v>428</v>
      </c>
      <c r="AZ285" s="36" t="s">
        <v>448</v>
      </c>
      <c r="BA285" s="29" t="s">
        <v>451</v>
      </c>
      <c r="BC285" s="35">
        <f>AW285+AX285</f>
        <v>0</v>
      </c>
      <c r="BD285" s="35">
        <f>H285/(100-BE285)*100</f>
        <v>0</v>
      </c>
      <c r="BE285" s="35">
        <v>0</v>
      </c>
      <c r="BF285" s="35">
        <f>285</f>
        <v>285</v>
      </c>
      <c r="BH285" s="17">
        <f>G285*AO285</f>
        <v>0</v>
      </c>
      <c r="BI285" s="17">
        <f>G285*AP285</f>
        <v>0</v>
      </c>
      <c r="BJ285" s="17">
        <f>G285*H285</f>
        <v>0</v>
      </c>
    </row>
    <row r="286" spans="3:7" ht="12.75">
      <c r="C286" s="67" t="s">
        <v>372</v>
      </c>
      <c r="D286" s="68"/>
      <c r="E286" s="68"/>
      <c r="G286" s="18">
        <v>14.301</v>
      </c>
    </row>
    <row r="287" spans="1:47" ht="12.75">
      <c r="A287" s="4"/>
      <c r="B287" s="14" t="s">
        <v>105</v>
      </c>
      <c r="C287" s="75" t="s">
        <v>204</v>
      </c>
      <c r="D287" s="76"/>
      <c r="E287" s="76"/>
      <c r="F287" s="4" t="s">
        <v>6</v>
      </c>
      <c r="G287" s="4" t="s">
        <v>6</v>
      </c>
      <c r="H287" s="4" t="s">
        <v>6</v>
      </c>
      <c r="I287" s="38">
        <f>SUM(I288:I294)</f>
        <v>0</v>
      </c>
      <c r="J287" s="38">
        <f>SUM(J288:J294)</f>
        <v>0</v>
      </c>
      <c r="K287" s="38">
        <f>SUM(K288:K294)</f>
        <v>0</v>
      </c>
      <c r="L287" s="29"/>
      <c r="AI287" s="29" t="s">
        <v>419</v>
      </c>
      <c r="AS287" s="38">
        <f>SUM(AJ288:AJ294)</f>
        <v>0</v>
      </c>
      <c r="AT287" s="38">
        <f>SUM(AK288:AK294)</f>
        <v>0</v>
      </c>
      <c r="AU287" s="38">
        <f>SUM(AL288:AL294)</f>
        <v>0</v>
      </c>
    </row>
    <row r="288" spans="1:62" ht="12.75">
      <c r="A288" s="5" t="s">
        <v>66</v>
      </c>
      <c r="B288" s="5" t="s">
        <v>106</v>
      </c>
      <c r="C288" s="69" t="s">
        <v>205</v>
      </c>
      <c r="D288" s="70"/>
      <c r="E288" s="70"/>
      <c r="F288" s="5" t="s">
        <v>383</v>
      </c>
      <c r="G288" s="17">
        <v>6.881</v>
      </c>
      <c r="H288" s="17">
        <v>0</v>
      </c>
      <c r="I288" s="17">
        <f>G288*AO288</f>
        <v>0</v>
      </c>
      <c r="J288" s="17">
        <f>G288*AP288</f>
        <v>0</v>
      </c>
      <c r="K288" s="17">
        <f>G288*H288</f>
        <v>0</v>
      </c>
      <c r="L288" s="30" t="s">
        <v>407</v>
      </c>
      <c r="Z288" s="35">
        <f>IF(AQ288="5",BJ288,0)</f>
        <v>0</v>
      </c>
      <c r="AB288" s="35">
        <f>IF(AQ288="1",BH288,0)</f>
        <v>0</v>
      </c>
      <c r="AC288" s="35">
        <f>IF(AQ288="1",BI288,0)</f>
        <v>0</v>
      </c>
      <c r="AD288" s="35">
        <f>IF(AQ288="7",BH288,0)</f>
        <v>0</v>
      </c>
      <c r="AE288" s="35">
        <f>IF(AQ288="7",BI288,0)</f>
        <v>0</v>
      </c>
      <c r="AF288" s="35">
        <f>IF(AQ288="2",BH288,0)</f>
        <v>0</v>
      </c>
      <c r="AG288" s="35">
        <f>IF(AQ288="2",BI288,0)</f>
        <v>0</v>
      </c>
      <c r="AH288" s="35">
        <f>IF(AQ288="0",BJ288,0)</f>
        <v>0</v>
      </c>
      <c r="AI288" s="29" t="s">
        <v>419</v>
      </c>
      <c r="AJ288" s="17">
        <f>IF(AN288=0,K288,0)</f>
        <v>0</v>
      </c>
      <c r="AK288" s="17">
        <f>IF(AN288=15,K288,0)</f>
        <v>0</v>
      </c>
      <c r="AL288" s="17">
        <f>IF(AN288=21,K288,0)</f>
        <v>0</v>
      </c>
      <c r="AN288" s="35">
        <v>21</v>
      </c>
      <c r="AO288" s="35">
        <f>H288*0</f>
        <v>0</v>
      </c>
      <c r="AP288" s="35">
        <f>H288*(1-0)</f>
        <v>0</v>
      </c>
      <c r="AQ288" s="30" t="s">
        <v>11</v>
      </c>
      <c r="AV288" s="35">
        <f>AW288+AX288</f>
        <v>0</v>
      </c>
      <c r="AW288" s="35">
        <f>G288*AO288</f>
        <v>0</v>
      </c>
      <c r="AX288" s="35">
        <f>G288*AP288</f>
        <v>0</v>
      </c>
      <c r="AY288" s="36" t="s">
        <v>429</v>
      </c>
      <c r="AZ288" s="36" t="s">
        <v>448</v>
      </c>
      <c r="BA288" s="29" t="s">
        <v>451</v>
      </c>
      <c r="BC288" s="35">
        <f>AW288+AX288</f>
        <v>0</v>
      </c>
      <c r="BD288" s="35">
        <f>H288/(100-BE288)*100</f>
        <v>0</v>
      </c>
      <c r="BE288" s="35">
        <v>0</v>
      </c>
      <c r="BF288" s="35">
        <f>288</f>
        <v>288</v>
      </c>
      <c r="BH288" s="17">
        <f>G288*AO288</f>
        <v>0</v>
      </c>
      <c r="BI288" s="17">
        <f>G288*AP288</f>
        <v>0</v>
      </c>
      <c r="BJ288" s="17">
        <f>G288*H288</f>
        <v>0</v>
      </c>
    </row>
    <row r="289" spans="3:7" ht="12.75">
      <c r="C289" s="67" t="s">
        <v>373</v>
      </c>
      <c r="D289" s="68"/>
      <c r="E289" s="68"/>
      <c r="G289" s="18">
        <v>6.881</v>
      </c>
    </row>
    <row r="290" spans="1:62" ht="12.75">
      <c r="A290" s="5" t="s">
        <v>67</v>
      </c>
      <c r="B290" s="5" t="s">
        <v>107</v>
      </c>
      <c r="C290" s="69" t="s">
        <v>207</v>
      </c>
      <c r="D290" s="70"/>
      <c r="E290" s="70"/>
      <c r="F290" s="5" t="s">
        <v>383</v>
      </c>
      <c r="G290" s="17">
        <v>6.881</v>
      </c>
      <c r="H290" s="17">
        <v>0</v>
      </c>
      <c r="I290" s="17">
        <f>G290*AO290</f>
        <v>0</v>
      </c>
      <c r="J290" s="17">
        <f>G290*AP290</f>
        <v>0</v>
      </c>
      <c r="K290" s="17">
        <f>G290*H290</f>
        <v>0</v>
      </c>
      <c r="L290" s="30" t="s">
        <v>407</v>
      </c>
      <c r="Z290" s="35">
        <f>IF(AQ290="5",BJ290,0)</f>
        <v>0</v>
      </c>
      <c r="AB290" s="35">
        <f>IF(AQ290="1",BH290,0)</f>
        <v>0</v>
      </c>
      <c r="AC290" s="35">
        <f>IF(AQ290="1",BI290,0)</f>
        <v>0</v>
      </c>
      <c r="AD290" s="35">
        <f>IF(AQ290="7",BH290,0)</f>
        <v>0</v>
      </c>
      <c r="AE290" s="35">
        <f>IF(AQ290="7",BI290,0)</f>
        <v>0</v>
      </c>
      <c r="AF290" s="35">
        <f>IF(AQ290="2",BH290,0)</f>
        <v>0</v>
      </c>
      <c r="AG290" s="35">
        <f>IF(AQ290="2",BI290,0)</f>
        <v>0</v>
      </c>
      <c r="AH290" s="35">
        <f>IF(AQ290="0",BJ290,0)</f>
        <v>0</v>
      </c>
      <c r="AI290" s="29" t="s">
        <v>419</v>
      </c>
      <c r="AJ290" s="17">
        <f>IF(AN290=0,K290,0)</f>
        <v>0</v>
      </c>
      <c r="AK290" s="17">
        <f>IF(AN290=15,K290,0)</f>
        <v>0</v>
      </c>
      <c r="AL290" s="17">
        <f>IF(AN290=21,K290,0)</f>
        <v>0</v>
      </c>
      <c r="AN290" s="35">
        <v>21</v>
      </c>
      <c r="AO290" s="35">
        <f>H290*0.00934995992667041</f>
        <v>0</v>
      </c>
      <c r="AP290" s="35">
        <f>H290*(1-0.00934995992667041)</f>
        <v>0</v>
      </c>
      <c r="AQ290" s="30" t="s">
        <v>11</v>
      </c>
      <c r="AV290" s="35">
        <f>AW290+AX290</f>
        <v>0</v>
      </c>
      <c r="AW290" s="35">
        <f>G290*AO290</f>
        <v>0</v>
      </c>
      <c r="AX290" s="35">
        <f>G290*AP290</f>
        <v>0</v>
      </c>
      <c r="AY290" s="36" t="s">
        <v>429</v>
      </c>
      <c r="AZ290" s="36" t="s">
        <v>448</v>
      </c>
      <c r="BA290" s="29" t="s">
        <v>451</v>
      </c>
      <c r="BC290" s="35">
        <f>AW290+AX290</f>
        <v>0</v>
      </c>
      <c r="BD290" s="35">
        <f>H290/(100-BE290)*100</f>
        <v>0</v>
      </c>
      <c r="BE290" s="35">
        <v>0</v>
      </c>
      <c r="BF290" s="35">
        <f>290</f>
        <v>290</v>
      </c>
      <c r="BH290" s="17">
        <f>G290*AO290</f>
        <v>0</v>
      </c>
      <c r="BI290" s="17">
        <f>G290*AP290</f>
        <v>0</v>
      </c>
      <c r="BJ290" s="17">
        <f>G290*H290</f>
        <v>0</v>
      </c>
    </row>
    <row r="291" spans="3:7" ht="12.75">
      <c r="C291" s="67" t="s">
        <v>374</v>
      </c>
      <c r="D291" s="68"/>
      <c r="E291" s="68"/>
      <c r="G291" s="18">
        <v>6.881</v>
      </c>
    </row>
    <row r="292" spans="1:62" ht="12.75">
      <c r="A292" s="5" t="s">
        <v>68</v>
      </c>
      <c r="B292" s="5" t="s">
        <v>108</v>
      </c>
      <c r="C292" s="69" t="s">
        <v>209</v>
      </c>
      <c r="D292" s="70"/>
      <c r="E292" s="70"/>
      <c r="F292" s="5" t="s">
        <v>383</v>
      </c>
      <c r="G292" s="17">
        <v>6.881</v>
      </c>
      <c r="H292" s="17">
        <v>0</v>
      </c>
      <c r="I292" s="17">
        <f>G292*AO292</f>
        <v>0</v>
      </c>
      <c r="J292" s="17">
        <f>G292*AP292</f>
        <v>0</v>
      </c>
      <c r="K292" s="17">
        <f>G292*H292</f>
        <v>0</v>
      </c>
      <c r="L292" s="30" t="s">
        <v>407</v>
      </c>
      <c r="Z292" s="35">
        <f>IF(AQ292="5",BJ292,0)</f>
        <v>0</v>
      </c>
      <c r="AB292" s="35">
        <f>IF(AQ292="1",BH292,0)</f>
        <v>0</v>
      </c>
      <c r="AC292" s="35">
        <f>IF(AQ292="1",BI292,0)</f>
        <v>0</v>
      </c>
      <c r="AD292" s="35">
        <f>IF(AQ292="7",BH292,0)</f>
        <v>0</v>
      </c>
      <c r="AE292" s="35">
        <f>IF(AQ292="7",BI292,0)</f>
        <v>0</v>
      </c>
      <c r="AF292" s="35">
        <f>IF(AQ292="2",BH292,0)</f>
        <v>0</v>
      </c>
      <c r="AG292" s="35">
        <f>IF(AQ292="2",BI292,0)</f>
        <v>0</v>
      </c>
      <c r="AH292" s="35">
        <f>IF(AQ292="0",BJ292,0)</f>
        <v>0</v>
      </c>
      <c r="AI292" s="29" t="s">
        <v>419</v>
      </c>
      <c r="AJ292" s="17">
        <f>IF(AN292=0,K292,0)</f>
        <v>0</v>
      </c>
      <c r="AK292" s="17">
        <f>IF(AN292=15,K292,0)</f>
        <v>0</v>
      </c>
      <c r="AL292" s="17">
        <f>IF(AN292=21,K292,0)</f>
        <v>0</v>
      </c>
      <c r="AN292" s="35">
        <v>21</v>
      </c>
      <c r="AO292" s="35">
        <f>H292*0</f>
        <v>0</v>
      </c>
      <c r="AP292" s="35">
        <f>H292*(1-0)</f>
        <v>0</v>
      </c>
      <c r="AQ292" s="30" t="s">
        <v>11</v>
      </c>
      <c r="AV292" s="35">
        <f>AW292+AX292</f>
        <v>0</v>
      </c>
      <c r="AW292" s="35">
        <f>G292*AO292</f>
        <v>0</v>
      </c>
      <c r="AX292" s="35">
        <f>G292*AP292</f>
        <v>0</v>
      </c>
      <c r="AY292" s="36" t="s">
        <v>429</v>
      </c>
      <c r="AZ292" s="36" t="s">
        <v>448</v>
      </c>
      <c r="BA292" s="29" t="s">
        <v>451</v>
      </c>
      <c r="BC292" s="35">
        <f>AW292+AX292</f>
        <v>0</v>
      </c>
      <c r="BD292" s="35">
        <f>H292/(100-BE292)*100</f>
        <v>0</v>
      </c>
      <c r="BE292" s="35">
        <v>0</v>
      </c>
      <c r="BF292" s="35">
        <f>292</f>
        <v>292</v>
      </c>
      <c r="BH292" s="17">
        <f>G292*AO292</f>
        <v>0</v>
      </c>
      <c r="BI292" s="17">
        <f>G292*AP292</f>
        <v>0</v>
      </c>
      <c r="BJ292" s="17">
        <f>G292*H292</f>
        <v>0</v>
      </c>
    </row>
    <row r="293" spans="3:7" ht="12.75">
      <c r="C293" s="67" t="s">
        <v>374</v>
      </c>
      <c r="D293" s="68"/>
      <c r="E293" s="68"/>
      <c r="G293" s="18">
        <v>6.881</v>
      </c>
    </row>
    <row r="294" spans="1:62" ht="12.75">
      <c r="A294" s="5" t="s">
        <v>69</v>
      </c>
      <c r="B294" s="5" t="s">
        <v>109</v>
      </c>
      <c r="C294" s="69" t="s">
        <v>210</v>
      </c>
      <c r="D294" s="70"/>
      <c r="E294" s="70"/>
      <c r="F294" s="5" t="s">
        <v>383</v>
      </c>
      <c r="G294" s="17">
        <v>6.881</v>
      </c>
      <c r="H294" s="17">
        <v>0</v>
      </c>
      <c r="I294" s="17">
        <f>G294*AO294</f>
        <v>0</v>
      </c>
      <c r="J294" s="17">
        <f>G294*AP294</f>
        <v>0</v>
      </c>
      <c r="K294" s="17">
        <f>G294*H294</f>
        <v>0</v>
      </c>
      <c r="L294" s="30" t="s">
        <v>407</v>
      </c>
      <c r="Z294" s="35">
        <f>IF(AQ294="5",BJ294,0)</f>
        <v>0</v>
      </c>
      <c r="AB294" s="35">
        <f>IF(AQ294="1",BH294,0)</f>
        <v>0</v>
      </c>
      <c r="AC294" s="35">
        <f>IF(AQ294="1",BI294,0)</f>
        <v>0</v>
      </c>
      <c r="AD294" s="35">
        <f>IF(AQ294="7",BH294,0)</f>
        <v>0</v>
      </c>
      <c r="AE294" s="35">
        <f>IF(AQ294="7",BI294,0)</f>
        <v>0</v>
      </c>
      <c r="AF294" s="35">
        <f>IF(AQ294="2",BH294,0)</f>
        <v>0</v>
      </c>
      <c r="AG294" s="35">
        <f>IF(AQ294="2",BI294,0)</f>
        <v>0</v>
      </c>
      <c r="AH294" s="35">
        <f>IF(AQ294="0",BJ294,0)</f>
        <v>0</v>
      </c>
      <c r="AI294" s="29" t="s">
        <v>419</v>
      </c>
      <c r="AJ294" s="17">
        <f>IF(AN294=0,K294,0)</f>
        <v>0</v>
      </c>
      <c r="AK294" s="17">
        <f>IF(AN294=15,K294,0)</f>
        <v>0</v>
      </c>
      <c r="AL294" s="17">
        <f>IF(AN294=21,K294,0)</f>
        <v>0</v>
      </c>
      <c r="AN294" s="35">
        <v>21</v>
      </c>
      <c r="AO294" s="35">
        <f>H294*0</f>
        <v>0</v>
      </c>
      <c r="AP294" s="35">
        <f>H294*(1-0)</f>
        <v>0</v>
      </c>
      <c r="AQ294" s="30" t="s">
        <v>11</v>
      </c>
      <c r="AV294" s="35">
        <f>AW294+AX294</f>
        <v>0</v>
      </c>
      <c r="AW294" s="35">
        <f>G294*AO294</f>
        <v>0</v>
      </c>
      <c r="AX294" s="35">
        <f>G294*AP294</f>
        <v>0</v>
      </c>
      <c r="AY294" s="36" t="s">
        <v>429</v>
      </c>
      <c r="AZ294" s="36" t="s">
        <v>448</v>
      </c>
      <c r="BA294" s="29" t="s">
        <v>451</v>
      </c>
      <c r="BC294" s="35">
        <f>AW294+AX294</f>
        <v>0</v>
      </c>
      <c r="BD294" s="35">
        <f>H294/(100-BE294)*100</f>
        <v>0</v>
      </c>
      <c r="BE294" s="35">
        <v>0</v>
      </c>
      <c r="BF294" s="35">
        <f>294</f>
        <v>294</v>
      </c>
      <c r="BH294" s="17">
        <f>G294*AO294</f>
        <v>0</v>
      </c>
      <c r="BI294" s="17">
        <f>G294*AP294</f>
        <v>0</v>
      </c>
      <c r="BJ294" s="17">
        <f>G294*H294</f>
        <v>0</v>
      </c>
    </row>
    <row r="295" spans="1:12" ht="12.75">
      <c r="A295" s="8"/>
      <c r="B295" s="8"/>
      <c r="C295" s="71" t="s">
        <v>374</v>
      </c>
      <c r="D295" s="72"/>
      <c r="E295" s="72"/>
      <c r="F295" s="8"/>
      <c r="G295" s="20">
        <v>6.881</v>
      </c>
      <c r="H295" s="8"/>
      <c r="I295" s="8"/>
      <c r="J295" s="8"/>
      <c r="K295" s="8"/>
      <c r="L295" s="8"/>
    </row>
    <row r="296" spans="1:12" ht="12.75">
      <c r="A296" s="9"/>
      <c r="B296" s="9"/>
      <c r="C296" s="9"/>
      <c r="D296" s="9"/>
      <c r="E296" s="9"/>
      <c r="F296" s="9"/>
      <c r="G296" s="9"/>
      <c r="H296" s="9"/>
      <c r="I296" s="73" t="s">
        <v>402</v>
      </c>
      <c r="J296" s="74"/>
      <c r="K296" s="40">
        <f>K13+K16+K27+K42+K51+K54+K57+K66+K71+K74+K84+K89+K114+K117+K123+K250+K259+K262+K275+K278+K281+K284+K287</f>
        <v>150000</v>
      </c>
      <c r="L296" s="9"/>
    </row>
    <row r="297" ht="11.25" customHeight="1">
      <c r="A297" s="10" t="s">
        <v>70</v>
      </c>
    </row>
    <row r="298" spans="1:12" ht="12.75">
      <c r="A298" s="65"/>
      <c r="B298" s="66"/>
      <c r="C298" s="66"/>
      <c r="D298" s="66"/>
      <c r="E298" s="66"/>
      <c r="F298" s="66"/>
      <c r="G298" s="66"/>
      <c r="H298" s="66"/>
      <c r="I298" s="66"/>
      <c r="J298" s="66"/>
      <c r="K298" s="66"/>
      <c r="L298" s="66"/>
    </row>
  </sheetData>
  <sheetProtection/>
  <mergeCells count="314">
    <mergeCell ref="A1:L1"/>
    <mergeCell ref="A2:B3"/>
    <mergeCell ref="C2:C3"/>
    <mergeCell ref="D2:E3"/>
    <mergeCell ref="F2:G3"/>
    <mergeCell ref="H2:H3"/>
    <mergeCell ref="I2:L3"/>
    <mergeCell ref="A4:B5"/>
    <mergeCell ref="C4:C5"/>
    <mergeCell ref="D4:E5"/>
    <mergeCell ref="F4:G5"/>
    <mergeCell ref="H4:H5"/>
    <mergeCell ref="I4:L5"/>
    <mergeCell ref="A6:B7"/>
    <mergeCell ref="C6:C7"/>
    <mergeCell ref="D6:E7"/>
    <mergeCell ref="F6:G7"/>
    <mergeCell ref="H6:H7"/>
    <mergeCell ref="I6:L7"/>
    <mergeCell ref="A8:B9"/>
    <mergeCell ref="C8:C9"/>
    <mergeCell ref="D8:E9"/>
    <mergeCell ref="F8:G9"/>
    <mergeCell ref="H8:H9"/>
    <mergeCell ref="I8:L9"/>
    <mergeCell ref="C10:E10"/>
    <mergeCell ref="I10:K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  <mergeCell ref="C24:E24"/>
    <mergeCell ref="C25:E25"/>
    <mergeCell ref="C26:E26"/>
    <mergeCell ref="C27:E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38:E38"/>
    <mergeCell ref="C39:E39"/>
    <mergeCell ref="C40:E40"/>
    <mergeCell ref="C41:E41"/>
    <mergeCell ref="C42:E42"/>
    <mergeCell ref="C43:E43"/>
    <mergeCell ref="C44:E44"/>
    <mergeCell ref="C45:E45"/>
    <mergeCell ref="C46:E46"/>
    <mergeCell ref="C47:E47"/>
    <mergeCell ref="C48:E48"/>
    <mergeCell ref="C49:E49"/>
    <mergeCell ref="C50:E50"/>
    <mergeCell ref="C51:E51"/>
    <mergeCell ref="C52:E52"/>
    <mergeCell ref="C53:E53"/>
    <mergeCell ref="C54:E54"/>
    <mergeCell ref="C55:E55"/>
    <mergeCell ref="C56:E56"/>
    <mergeCell ref="C57:E57"/>
    <mergeCell ref="C58:E58"/>
    <mergeCell ref="C59:E59"/>
    <mergeCell ref="C60:E60"/>
    <mergeCell ref="C61:E61"/>
    <mergeCell ref="C62:E62"/>
    <mergeCell ref="C63:E63"/>
    <mergeCell ref="C64:E64"/>
    <mergeCell ref="C65:E65"/>
    <mergeCell ref="C66:E66"/>
    <mergeCell ref="C67:E67"/>
    <mergeCell ref="C68:E68"/>
    <mergeCell ref="C69:E69"/>
    <mergeCell ref="C70:E70"/>
    <mergeCell ref="C71:E71"/>
    <mergeCell ref="C72:E72"/>
    <mergeCell ref="C73:E73"/>
    <mergeCell ref="C74:E74"/>
    <mergeCell ref="C75:E75"/>
    <mergeCell ref="C76:E76"/>
    <mergeCell ref="C77:E77"/>
    <mergeCell ref="C78:E78"/>
    <mergeCell ref="C79:E79"/>
    <mergeCell ref="C80:E80"/>
    <mergeCell ref="C81:E81"/>
    <mergeCell ref="C82:E82"/>
    <mergeCell ref="C83:E83"/>
    <mergeCell ref="C84:E84"/>
    <mergeCell ref="C85:E85"/>
    <mergeCell ref="C86:E86"/>
    <mergeCell ref="C87:E87"/>
    <mergeCell ref="C88:E88"/>
    <mergeCell ref="C89:E89"/>
    <mergeCell ref="C90:E90"/>
    <mergeCell ref="C91:E91"/>
    <mergeCell ref="C92:E92"/>
    <mergeCell ref="C93:E93"/>
    <mergeCell ref="C94:E94"/>
    <mergeCell ref="C95:E95"/>
    <mergeCell ref="C96:E96"/>
    <mergeCell ref="C97:E97"/>
    <mergeCell ref="C98:E98"/>
    <mergeCell ref="C99:E99"/>
    <mergeCell ref="C100:E100"/>
    <mergeCell ref="C101:E101"/>
    <mergeCell ref="C102:E102"/>
    <mergeCell ref="C103:E103"/>
    <mergeCell ref="C104:E104"/>
    <mergeCell ref="C105:E105"/>
    <mergeCell ref="C106:E106"/>
    <mergeCell ref="C107:E107"/>
    <mergeCell ref="C108:E108"/>
    <mergeCell ref="C109:E109"/>
    <mergeCell ref="C110:E110"/>
    <mergeCell ref="C111:E111"/>
    <mergeCell ref="C112:E112"/>
    <mergeCell ref="C113:E113"/>
    <mergeCell ref="C114:E114"/>
    <mergeCell ref="C115:E115"/>
    <mergeCell ref="C116:E116"/>
    <mergeCell ref="C117:E117"/>
    <mergeCell ref="C118:E118"/>
    <mergeCell ref="C119:E119"/>
    <mergeCell ref="C120:E120"/>
    <mergeCell ref="C121:E121"/>
    <mergeCell ref="C122:E122"/>
    <mergeCell ref="C123:E123"/>
    <mergeCell ref="C124:E124"/>
    <mergeCell ref="C125:E125"/>
    <mergeCell ref="C126:E126"/>
    <mergeCell ref="C127:E127"/>
    <mergeCell ref="C128:E128"/>
    <mergeCell ref="C129:E129"/>
    <mergeCell ref="C130:E130"/>
    <mergeCell ref="C131:E131"/>
    <mergeCell ref="C132:E132"/>
    <mergeCell ref="C133:E133"/>
    <mergeCell ref="C134:E134"/>
    <mergeCell ref="C135:E135"/>
    <mergeCell ref="C136:E136"/>
    <mergeCell ref="C137:E137"/>
    <mergeCell ref="C138:E138"/>
    <mergeCell ref="C139:E139"/>
    <mergeCell ref="C140:E140"/>
    <mergeCell ref="C141:E141"/>
    <mergeCell ref="C142:E142"/>
    <mergeCell ref="C143:E143"/>
    <mergeCell ref="C144:E144"/>
    <mergeCell ref="C145:E145"/>
    <mergeCell ref="C146:E146"/>
    <mergeCell ref="C147:E147"/>
    <mergeCell ref="C148:E148"/>
    <mergeCell ref="C149:E149"/>
    <mergeCell ref="C150:E150"/>
    <mergeCell ref="C151:E151"/>
    <mergeCell ref="C152:E152"/>
    <mergeCell ref="C153:E153"/>
    <mergeCell ref="C154:E154"/>
    <mergeCell ref="C155:E155"/>
    <mergeCell ref="C156:E156"/>
    <mergeCell ref="C157:E157"/>
    <mergeCell ref="C158:E158"/>
    <mergeCell ref="C159:E159"/>
    <mergeCell ref="C160:E160"/>
    <mergeCell ref="C161:E161"/>
    <mergeCell ref="C162:E162"/>
    <mergeCell ref="C163:E163"/>
    <mergeCell ref="C164:E164"/>
    <mergeCell ref="C165:E165"/>
    <mergeCell ref="C166:E166"/>
    <mergeCell ref="C167:E167"/>
    <mergeCell ref="C168:E168"/>
    <mergeCell ref="C169:E169"/>
    <mergeCell ref="C170:E170"/>
    <mergeCell ref="C171:E171"/>
    <mergeCell ref="C172:E172"/>
    <mergeCell ref="C173:E173"/>
    <mergeCell ref="C174:E174"/>
    <mergeCell ref="C175:E175"/>
    <mergeCell ref="C176:E176"/>
    <mergeCell ref="C177:E177"/>
    <mergeCell ref="C178:E178"/>
    <mergeCell ref="C179:E179"/>
    <mergeCell ref="C180:E180"/>
    <mergeCell ref="C181:E181"/>
    <mergeCell ref="C182:E182"/>
    <mergeCell ref="C183:E183"/>
    <mergeCell ref="C184:E184"/>
    <mergeCell ref="C185:E185"/>
    <mergeCell ref="C186:E186"/>
    <mergeCell ref="C187:E187"/>
    <mergeCell ref="C188:E188"/>
    <mergeCell ref="C189:E189"/>
    <mergeCell ref="C190:E190"/>
    <mergeCell ref="C191:E191"/>
    <mergeCell ref="C192:E192"/>
    <mergeCell ref="C193:E193"/>
    <mergeCell ref="C194:E194"/>
    <mergeCell ref="C195:E195"/>
    <mergeCell ref="C196:E196"/>
    <mergeCell ref="C197:E197"/>
    <mergeCell ref="C198:E198"/>
    <mergeCell ref="C199:E199"/>
    <mergeCell ref="C200:E200"/>
    <mergeCell ref="C201:E201"/>
    <mergeCell ref="C202:E202"/>
    <mergeCell ref="C203:E203"/>
    <mergeCell ref="C204:E204"/>
    <mergeCell ref="C205:E205"/>
    <mergeCell ref="C206:E206"/>
    <mergeCell ref="C207:E207"/>
    <mergeCell ref="C208:E208"/>
    <mergeCell ref="C209:E209"/>
    <mergeCell ref="C210:E210"/>
    <mergeCell ref="C211:E211"/>
    <mergeCell ref="C212:E212"/>
    <mergeCell ref="C213:E213"/>
    <mergeCell ref="C214:E214"/>
    <mergeCell ref="C215:E215"/>
    <mergeCell ref="C216:E216"/>
    <mergeCell ref="C217:E217"/>
    <mergeCell ref="C218:E218"/>
    <mergeCell ref="C219:E219"/>
    <mergeCell ref="C220:E220"/>
    <mergeCell ref="C221:E221"/>
    <mergeCell ref="C222:E222"/>
    <mergeCell ref="C223:E223"/>
    <mergeCell ref="C224:E224"/>
    <mergeCell ref="C225:E225"/>
    <mergeCell ref="C226:E226"/>
    <mergeCell ref="C227:E227"/>
    <mergeCell ref="C228:E228"/>
    <mergeCell ref="C229:E229"/>
    <mergeCell ref="C230:E230"/>
    <mergeCell ref="C231:E231"/>
    <mergeCell ref="C232:E232"/>
    <mergeCell ref="C233:E233"/>
    <mergeCell ref="C234:E234"/>
    <mergeCell ref="C235:E235"/>
    <mergeCell ref="C236:E236"/>
    <mergeCell ref="C237:E237"/>
    <mergeCell ref="C238:E238"/>
    <mergeCell ref="C239:E239"/>
    <mergeCell ref="C240:E240"/>
    <mergeCell ref="C241:E241"/>
    <mergeCell ref="C242:E242"/>
    <mergeCell ref="C243:E243"/>
    <mergeCell ref="C244:E244"/>
    <mergeCell ref="C245:E245"/>
    <mergeCell ref="C246:E246"/>
    <mergeCell ref="C247:E247"/>
    <mergeCell ref="C248:E248"/>
    <mergeCell ref="C249:E249"/>
    <mergeCell ref="C250:E250"/>
    <mergeCell ref="C251:E251"/>
    <mergeCell ref="C252:E252"/>
    <mergeCell ref="C253:E253"/>
    <mergeCell ref="C254:E254"/>
    <mergeCell ref="C255:E255"/>
    <mergeCell ref="C256:E256"/>
    <mergeCell ref="C257:E257"/>
    <mergeCell ref="C258:E258"/>
    <mergeCell ref="C259:E259"/>
    <mergeCell ref="C260:E260"/>
    <mergeCell ref="C261:E261"/>
    <mergeCell ref="C262:E262"/>
    <mergeCell ref="C263:E263"/>
    <mergeCell ref="C264:E264"/>
    <mergeCell ref="C265:E265"/>
    <mergeCell ref="C266:E266"/>
    <mergeCell ref="C267:E267"/>
    <mergeCell ref="C268:E268"/>
    <mergeCell ref="C269:E269"/>
    <mergeCell ref="C270:E270"/>
    <mergeCell ref="C271:E271"/>
    <mergeCell ref="C272:E272"/>
    <mergeCell ref="C273:E273"/>
    <mergeCell ref="C274:E274"/>
    <mergeCell ref="C275:E275"/>
    <mergeCell ref="C276:E276"/>
    <mergeCell ref="C277:E277"/>
    <mergeCell ref="C278:E278"/>
    <mergeCell ref="C279:E279"/>
    <mergeCell ref="C280:E280"/>
    <mergeCell ref="C281:E281"/>
    <mergeCell ref="C282:E282"/>
    <mergeCell ref="C283:E283"/>
    <mergeCell ref="C284:E284"/>
    <mergeCell ref="C285:E285"/>
    <mergeCell ref="C286:E286"/>
    <mergeCell ref="C287:E287"/>
    <mergeCell ref="C288:E288"/>
    <mergeCell ref="C289:E289"/>
    <mergeCell ref="C290:E290"/>
    <mergeCell ref="A298:L298"/>
    <mergeCell ref="C291:E291"/>
    <mergeCell ref="C292:E292"/>
    <mergeCell ref="C293:E293"/>
    <mergeCell ref="C294:E294"/>
    <mergeCell ref="C295:E295"/>
    <mergeCell ref="I296:J296"/>
  </mergeCells>
  <printOptions/>
  <pageMargins left="0.394" right="0.394" top="0.591" bottom="0.591" header="0.5" footer="0.5"/>
  <pageSetup fitToHeight="0" fitToWidth="1" horizontalDpi="600" verticalDpi="6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288"/>
  <sheetViews>
    <sheetView zoomScalePageLayoutView="0" workbookViewId="0" topLeftCell="A1">
      <pane ySplit="11" topLeftCell="A39" activePane="bottomLeft" state="frozen"/>
      <selection pane="topLeft" activeCell="A1" sqref="A1"/>
      <selection pane="bottomLeft" activeCell="A1" sqref="A1:L1"/>
    </sheetView>
  </sheetViews>
  <sheetFormatPr defaultColWidth="11.57421875" defaultRowHeight="12.75"/>
  <cols>
    <col min="1" max="1" width="3.7109375" style="0" customWidth="1"/>
    <col min="2" max="2" width="14.28125" style="0" customWidth="1"/>
    <col min="3" max="3" width="57.28125" style="0" customWidth="1"/>
    <col min="4" max="5" width="11.57421875" style="0" customWidth="1"/>
    <col min="6" max="6" width="4.8515625" style="0" customWidth="1"/>
    <col min="7" max="7" width="12.8515625" style="0" customWidth="1"/>
    <col min="8" max="8" width="12.00390625" style="0" customWidth="1"/>
    <col min="9" max="11" width="14.28125" style="0" customWidth="1"/>
    <col min="12" max="12" width="11.7109375" style="0" customWidth="1"/>
    <col min="13" max="24" width="11.57421875" style="0" customWidth="1"/>
    <col min="25" max="62" width="12.140625" style="0" hidden="1" customWidth="1"/>
  </cols>
  <sheetData>
    <row r="1" spans="1:12" ht="72.75" customHeight="1">
      <c r="A1" s="100" t="s">
        <v>455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3" ht="12.75">
      <c r="A2" s="102" t="s">
        <v>1</v>
      </c>
      <c r="B2" s="103"/>
      <c r="C2" s="104" t="str">
        <f>'Stavební rozpočet'!C2</f>
        <v>VÝMĚNA OKEN A VCHODOVÝCH DVEŘÍ,</v>
      </c>
      <c r="D2" s="106" t="s">
        <v>375</v>
      </c>
      <c r="E2" s="103"/>
      <c r="F2" s="107" t="str">
        <f>'Stavební rozpočet'!F2</f>
        <v> </v>
      </c>
      <c r="G2" s="103"/>
      <c r="H2" s="107" t="s">
        <v>390</v>
      </c>
      <c r="I2" s="107" t="str">
        <f>'Stavební rozpočet'!I2</f>
        <v>MĚSTO DOLNÍ POUSTEVNA</v>
      </c>
      <c r="J2" s="103"/>
      <c r="K2" s="103"/>
      <c r="L2" s="108"/>
      <c r="M2" s="33"/>
    </row>
    <row r="3" spans="1:13" ht="12.75">
      <c r="A3" s="99"/>
      <c r="B3" s="66"/>
      <c r="C3" s="105"/>
      <c r="D3" s="66"/>
      <c r="E3" s="66"/>
      <c r="F3" s="66"/>
      <c r="G3" s="66"/>
      <c r="H3" s="66"/>
      <c r="I3" s="66"/>
      <c r="J3" s="66"/>
      <c r="K3" s="66"/>
      <c r="L3" s="97"/>
      <c r="M3" s="33"/>
    </row>
    <row r="4" spans="1:13" ht="12.75">
      <c r="A4" s="92" t="s">
        <v>2</v>
      </c>
      <c r="B4" s="66"/>
      <c r="C4" s="65" t="str">
        <f>'Stavební rozpočet'!C4</f>
        <v>ÚPRAVA VESTIBULU A VNITŘNÍ MALBY</v>
      </c>
      <c r="D4" s="96" t="s">
        <v>376</v>
      </c>
      <c r="E4" s="66"/>
      <c r="F4" s="65" t="str">
        <f>'Stavební rozpočet'!F4</f>
        <v> </v>
      </c>
      <c r="G4" s="66"/>
      <c r="H4" s="65" t="s">
        <v>391</v>
      </c>
      <c r="I4" s="65" t="str">
        <f>'Stavební rozpočet'!I4</f>
        <v>PK HOŠEK</v>
      </c>
      <c r="J4" s="66"/>
      <c r="K4" s="66"/>
      <c r="L4" s="97"/>
      <c r="M4" s="33"/>
    </row>
    <row r="5" spans="1:13" ht="12.75">
      <c r="A5" s="99"/>
      <c r="B5" s="66"/>
      <c r="C5" s="66"/>
      <c r="D5" s="66"/>
      <c r="E5" s="66"/>
      <c r="F5" s="66"/>
      <c r="G5" s="66"/>
      <c r="H5" s="66"/>
      <c r="I5" s="66"/>
      <c r="J5" s="66"/>
      <c r="K5" s="66"/>
      <c r="L5" s="97"/>
      <c r="M5" s="33"/>
    </row>
    <row r="6" spans="1:13" ht="12.75">
      <c r="A6" s="92" t="s">
        <v>3</v>
      </c>
      <c r="B6" s="66"/>
      <c r="C6" s="65" t="str">
        <f>'Stavební rozpočet'!C6</f>
        <v>ZŠ DOLNÍ POUSTEVNA Č.P.142</v>
      </c>
      <c r="D6" s="96" t="s">
        <v>377</v>
      </c>
      <c r="E6" s="66"/>
      <c r="F6" s="65" t="str">
        <f>'Stavební rozpočet'!F6</f>
        <v> </v>
      </c>
      <c r="G6" s="66"/>
      <c r="H6" s="65" t="s">
        <v>392</v>
      </c>
      <c r="I6" s="65" t="str">
        <f>'Stavební rozpočet'!I6</f>
        <v>BUDE VYBRÁN</v>
      </c>
      <c r="J6" s="66"/>
      <c r="K6" s="66"/>
      <c r="L6" s="97"/>
      <c r="M6" s="33"/>
    </row>
    <row r="7" spans="1:13" ht="12.75">
      <c r="A7" s="99"/>
      <c r="B7" s="66"/>
      <c r="C7" s="66"/>
      <c r="D7" s="66"/>
      <c r="E7" s="66"/>
      <c r="F7" s="66"/>
      <c r="G7" s="66"/>
      <c r="H7" s="66"/>
      <c r="I7" s="66"/>
      <c r="J7" s="66"/>
      <c r="K7" s="66"/>
      <c r="L7" s="97"/>
      <c r="M7" s="33"/>
    </row>
    <row r="8" spans="1:13" ht="12.75">
      <c r="A8" s="92" t="s">
        <v>4</v>
      </c>
      <c r="B8" s="66"/>
      <c r="C8" s="65">
        <f>'Stavební rozpočet'!C8</f>
        <v>0</v>
      </c>
      <c r="D8" s="96" t="s">
        <v>378</v>
      </c>
      <c r="E8" s="66"/>
      <c r="F8" s="65" t="str">
        <f>'Stavební rozpočet'!F8</f>
        <v>05.03.2018</v>
      </c>
      <c r="G8" s="66"/>
      <c r="H8" s="65" t="s">
        <v>393</v>
      </c>
      <c r="I8" s="65" t="str">
        <f>'Stavební rozpočet'!I8</f>
        <v>IIČVDF</v>
      </c>
      <c r="J8" s="66"/>
      <c r="K8" s="66"/>
      <c r="L8" s="97"/>
      <c r="M8" s="33"/>
    </row>
    <row r="9" spans="1:13" ht="12.75">
      <c r="A9" s="93"/>
      <c r="B9" s="94"/>
      <c r="C9" s="94"/>
      <c r="D9" s="94"/>
      <c r="E9" s="94"/>
      <c r="F9" s="94"/>
      <c r="G9" s="94"/>
      <c r="H9" s="94"/>
      <c r="I9" s="94"/>
      <c r="J9" s="94"/>
      <c r="K9" s="94"/>
      <c r="L9" s="98"/>
      <c r="M9" s="33"/>
    </row>
    <row r="10" spans="1:13" ht="12.75">
      <c r="A10" s="1" t="s">
        <v>5</v>
      </c>
      <c r="B10" s="11" t="s">
        <v>71</v>
      </c>
      <c r="C10" s="81" t="s">
        <v>145</v>
      </c>
      <c r="D10" s="82"/>
      <c r="E10" s="83"/>
      <c r="F10" s="11" t="s">
        <v>381</v>
      </c>
      <c r="G10" s="16" t="s">
        <v>389</v>
      </c>
      <c r="H10" s="21" t="s">
        <v>394</v>
      </c>
      <c r="I10" s="84" t="s">
        <v>400</v>
      </c>
      <c r="J10" s="85"/>
      <c r="K10" s="86"/>
      <c r="L10" s="26" t="s">
        <v>405</v>
      </c>
      <c r="M10" s="34"/>
    </row>
    <row r="11" spans="1:62" ht="12.75">
      <c r="A11" s="2" t="s">
        <v>6</v>
      </c>
      <c r="B11" s="12" t="s">
        <v>6</v>
      </c>
      <c r="C11" s="87" t="s">
        <v>146</v>
      </c>
      <c r="D11" s="88"/>
      <c r="E11" s="89"/>
      <c r="F11" s="12" t="s">
        <v>6</v>
      </c>
      <c r="G11" s="12" t="s">
        <v>6</v>
      </c>
      <c r="H11" s="22" t="s">
        <v>395</v>
      </c>
      <c r="I11" s="23" t="s">
        <v>401</v>
      </c>
      <c r="J11" s="24" t="s">
        <v>403</v>
      </c>
      <c r="K11" s="25" t="s">
        <v>404</v>
      </c>
      <c r="L11" s="27" t="s">
        <v>406</v>
      </c>
      <c r="M11" s="34"/>
      <c r="Z11" s="29" t="s">
        <v>408</v>
      </c>
      <c r="AA11" s="29" t="s">
        <v>409</v>
      </c>
      <c r="AB11" s="29" t="s">
        <v>410</v>
      </c>
      <c r="AC11" s="29" t="s">
        <v>411</v>
      </c>
      <c r="AD11" s="29" t="s">
        <v>412</v>
      </c>
      <c r="AE11" s="29" t="s">
        <v>413</v>
      </c>
      <c r="AF11" s="29" t="s">
        <v>414</v>
      </c>
      <c r="AG11" s="29" t="s">
        <v>415</v>
      </c>
      <c r="AH11" s="29" t="s">
        <v>416</v>
      </c>
      <c r="BH11" s="29" t="s">
        <v>452</v>
      </c>
      <c r="BI11" s="29" t="s">
        <v>453</v>
      </c>
      <c r="BJ11" s="29" t="s">
        <v>454</v>
      </c>
    </row>
    <row r="12" spans="1:12" ht="12.75">
      <c r="A12" s="3"/>
      <c r="B12" s="13"/>
      <c r="C12" s="90" t="s">
        <v>147</v>
      </c>
      <c r="D12" s="91"/>
      <c r="E12" s="91"/>
      <c r="F12" s="3" t="s">
        <v>6</v>
      </c>
      <c r="G12" s="3" t="s">
        <v>6</v>
      </c>
      <c r="H12" s="3" t="s">
        <v>6</v>
      </c>
      <c r="I12" s="37">
        <f>I13+I16+I27+I42+I51</f>
        <v>0</v>
      </c>
      <c r="J12" s="37">
        <f>J13+J16+J27+J42+J51</f>
        <v>0</v>
      </c>
      <c r="K12" s="37">
        <f>K13+K16+K27+K42+K51</f>
        <v>0</v>
      </c>
      <c r="L12" s="28"/>
    </row>
    <row r="13" spans="1:47" ht="12.75">
      <c r="A13" s="4"/>
      <c r="B13" s="14" t="s">
        <v>12</v>
      </c>
      <c r="C13" s="75" t="s">
        <v>460</v>
      </c>
      <c r="D13" s="76"/>
      <c r="E13" s="76"/>
      <c r="F13" s="4" t="s">
        <v>6</v>
      </c>
      <c r="G13" s="4" t="s">
        <v>6</v>
      </c>
      <c r="H13" s="4" t="s">
        <v>6</v>
      </c>
      <c r="I13" s="38">
        <f>SUM(I14:I14)</f>
        <v>0</v>
      </c>
      <c r="J13" s="38">
        <f>SUM(J14:J14)</f>
        <v>0</v>
      </c>
      <c r="K13" s="38">
        <f>SUM(K14:K14)</f>
        <v>0</v>
      </c>
      <c r="L13" s="29"/>
      <c r="AI13" s="29" t="s">
        <v>417</v>
      </c>
      <c r="AS13" s="38">
        <f>SUM(AJ14:AJ14)</f>
        <v>0</v>
      </c>
      <c r="AT13" s="38">
        <f>SUM(AK14:AK14)</f>
        <v>0</v>
      </c>
      <c r="AU13" s="38">
        <f>SUM(AL14:AL14)</f>
        <v>0</v>
      </c>
    </row>
    <row r="14" spans="1:62" ht="12.75">
      <c r="A14" s="5" t="s">
        <v>7</v>
      </c>
      <c r="B14" s="5" t="s">
        <v>73</v>
      </c>
      <c r="C14" s="69" t="s">
        <v>149</v>
      </c>
      <c r="D14" s="70"/>
      <c r="E14" s="70"/>
      <c r="F14" s="5" t="s">
        <v>382</v>
      </c>
      <c r="G14" s="17">
        <f>'Stavební rozpočet'!G14</f>
        <v>1</v>
      </c>
      <c r="H14" s="17">
        <f>'Stavební rozpočet'!H14</f>
        <v>0</v>
      </c>
      <c r="I14" s="17">
        <f>G14*AO14</f>
        <v>0</v>
      </c>
      <c r="J14" s="17">
        <f>G14*AP14</f>
        <v>0</v>
      </c>
      <c r="K14" s="17">
        <f>G14*H14</f>
        <v>0</v>
      </c>
      <c r="L14" s="30" t="s">
        <v>407</v>
      </c>
      <c r="Z14" s="35">
        <f>IF(AQ14="5",BJ14,0)</f>
        <v>0</v>
      </c>
      <c r="AB14" s="35">
        <f>IF(AQ14="1",BH14,0)</f>
        <v>0</v>
      </c>
      <c r="AC14" s="35">
        <f>IF(AQ14="1",BI14,0)</f>
        <v>0</v>
      </c>
      <c r="AD14" s="35">
        <f>IF(AQ14="7",BH14,0)</f>
        <v>0</v>
      </c>
      <c r="AE14" s="35">
        <f>IF(AQ14="7",BI14,0)</f>
        <v>0</v>
      </c>
      <c r="AF14" s="35">
        <f>IF(AQ14="2",BH14,0)</f>
        <v>0</v>
      </c>
      <c r="AG14" s="35">
        <f>IF(AQ14="2",BI14,0)</f>
        <v>0</v>
      </c>
      <c r="AH14" s="35">
        <f>IF(AQ14="0",BJ14,0)</f>
        <v>0</v>
      </c>
      <c r="AI14" s="29" t="s">
        <v>417</v>
      </c>
      <c r="AJ14" s="17">
        <f>IF(AN14=0,K14,0)</f>
        <v>0</v>
      </c>
      <c r="AK14" s="17">
        <f>IF(AN14=15,K14,0)</f>
        <v>0</v>
      </c>
      <c r="AL14" s="17">
        <f>IF(AN14=21,K14,0)</f>
        <v>0</v>
      </c>
      <c r="AN14" s="35">
        <v>21</v>
      </c>
      <c r="AO14" s="35">
        <f>H14*0.486284896206156</f>
        <v>0</v>
      </c>
      <c r="AP14" s="35">
        <f>H14*(1-0.486284896206156)</f>
        <v>0</v>
      </c>
      <c r="AQ14" s="30" t="s">
        <v>7</v>
      </c>
      <c r="AV14" s="35">
        <f>AW14+AX14</f>
        <v>0</v>
      </c>
      <c r="AW14" s="35">
        <f>G14*AO14</f>
        <v>0</v>
      </c>
      <c r="AX14" s="35">
        <f>G14*AP14</f>
        <v>0</v>
      </c>
      <c r="AY14" s="36" t="s">
        <v>420</v>
      </c>
      <c r="AZ14" s="36" t="s">
        <v>436</v>
      </c>
      <c r="BA14" s="29" t="s">
        <v>449</v>
      </c>
      <c r="BC14" s="35">
        <f>AW14+AX14</f>
        <v>0</v>
      </c>
      <c r="BD14" s="35">
        <f>H14/(100-BE14)*100</f>
        <v>0</v>
      </c>
      <c r="BE14" s="35">
        <v>0</v>
      </c>
      <c r="BF14" s="35">
        <f>14</f>
        <v>14</v>
      </c>
      <c r="BH14" s="17">
        <f>G14*AO14</f>
        <v>0</v>
      </c>
      <c r="BI14" s="17">
        <f>G14*AP14</f>
        <v>0</v>
      </c>
      <c r="BJ14" s="17">
        <f>G14*H14</f>
        <v>0</v>
      </c>
    </row>
    <row r="15" spans="3:7" ht="12.75">
      <c r="C15" s="67" t="s">
        <v>150</v>
      </c>
      <c r="D15" s="68"/>
      <c r="E15" s="68"/>
      <c r="G15" s="18">
        <v>1</v>
      </c>
    </row>
    <row r="16" spans="1:47" ht="12.75">
      <c r="A16" s="4"/>
      <c r="B16" s="14" t="s">
        <v>456</v>
      </c>
      <c r="C16" s="75" t="s">
        <v>461</v>
      </c>
      <c r="D16" s="76"/>
      <c r="E16" s="76"/>
      <c r="F16" s="4" t="s">
        <v>6</v>
      </c>
      <c r="G16" s="4" t="s">
        <v>6</v>
      </c>
      <c r="H16" s="4" t="s">
        <v>6</v>
      </c>
      <c r="I16" s="38">
        <f>SUM(I17:I25)</f>
        <v>0</v>
      </c>
      <c r="J16" s="38">
        <f>SUM(J17:J25)</f>
        <v>0</v>
      </c>
      <c r="K16" s="38">
        <f>SUM(K17:K25)</f>
        <v>0</v>
      </c>
      <c r="L16" s="29"/>
      <c r="AI16" s="29" t="s">
        <v>417</v>
      </c>
      <c r="AS16" s="38">
        <f>SUM(AJ17:AJ25)</f>
        <v>0</v>
      </c>
      <c r="AT16" s="38">
        <f>SUM(AK17:AK25)</f>
        <v>0</v>
      </c>
      <c r="AU16" s="38">
        <f>SUM(AL17:AL25)</f>
        <v>0</v>
      </c>
    </row>
    <row r="17" spans="1:62" ht="12.75">
      <c r="A17" s="5" t="s">
        <v>8</v>
      </c>
      <c r="B17" s="5" t="s">
        <v>75</v>
      </c>
      <c r="C17" s="69" t="s">
        <v>152</v>
      </c>
      <c r="D17" s="70"/>
      <c r="E17" s="70"/>
      <c r="F17" s="5" t="s">
        <v>382</v>
      </c>
      <c r="G17" s="17">
        <f>'Stavební rozpočet'!G17</f>
        <v>1</v>
      </c>
      <c r="H17" s="17">
        <f>'Stavební rozpočet'!H17</f>
        <v>0</v>
      </c>
      <c r="I17" s="17">
        <f>G17*AO17</f>
        <v>0</v>
      </c>
      <c r="J17" s="17">
        <f>G17*AP17</f>
        <v>0</v>
      </c>
      <c r="K17" s="17">
        <f>G17*H17</f>
        <v>0</v>
      </c>
      <c r="L17" s="30" t="s">
        <v>407</v>
      </c>
      <c r="Z17" s="35">
        <f>IF(AQ17="5",BJ17,0)</f>
        <v>0</v>
      </c>
      <c r="AB17" s="35">
        <f>IF(AQ17="1",BH17,0)</f>
        <v>0</v>
      </c>
      <c r="AC17" s="35">
        <f>IF(AQ17="1",BI17,0)</f>
        <v>0</v>
      </c>
      <c r="AD17" s="35">
        <f>IF(AQ17="7",BH17,0)</f>
        <v>0</v>
      </c>
      <c r="AE17" s="35">
        <f>IF(AQ17="7",BI17,0)</f>
        <v>0</v>
      </c>
      <c r="AF17" s="35">
        <f>IF(AQ17="2",BH17,0)</f>
        <v>0</v>
      </c>
      <c r="AG17" s="35">
        <f>IF(AQ17="2",BI17,0)</f>
        <v>0</v>
      </c>
      <c r="AH17" s="35">
        <f>IF(AQ17="0",BJ17,0)</f>
        <v>0</v>
      </c>
      <c r="AI17" s="29" t="s">
        <v>417</v>
      </c>
      <c r="AJ17" s="17">
        <f>IF(AN17=0,K17,0)</f>
        <v>0</v>
      </c>
      <c r="AK17" s="17">
        <f>IF(AN17=15,K17,0)</f>
        <v>0</v>
      </c>
      <c r="AL17" s="17">
        <f>IF(AN17=21,K17,0)</f>
        <v>0</v>
      </c>
      <c r="AN17" s="35">
        <v>21</v>
      </c>
      <c r="AO17" s="35">
        <f>H17*0</f>
        <v>0</v>
      </c>
      <c r="AP17" s="35">
        <f>H17*(1-0)</f>
        <v>0</v>
      </c>
      <c r="AQ17" s="30" t="s">
        <v>13</v>
      </c>
      <c r="AV17" s="35">
        <f>AW17+AX17</f>
        <v>0</v>
      </c>
      <c r="AW17" s="35">
        <f>G17*AO17</f>
        <v>0</v>
      </c>
      <c r="AX17" s="35">
        <f>G17*AP17</f>
        <v>0</v>
      </c>
      <c r="AY17" s="36" t="s">
        <v>421</v>
      </c>
      <c r="AZ17" s="36" t="s">
        <v>437</v>
      </c>
      <c r="BA17" s="29" t="s">
        <v>449</v>
      </c>
      <c r="BC17" s="35">
        <f>AW17+AX17</f>
        <v>0</v>
      </c>
      <c r="BD17" s="35">
        <f>H17/(100-BE17)*100</f>
        <v>0</v>
      </c>
      <c r="BE17" s="35">
        <v>0</v>
      </c>
      <c r="BF17" s="35">
        <f>17</f>
        <v>17</v>
      </c>
      <c r="BH17" s="17">
        <f>G17*AO17</f>
        <v>0</v>
      </c>
      <c r="BI17" s="17">
        <f>G17*AP17</f>
        <v>0</v>
      </c>
      <c r="BJ17" s="17">
        <f>G17*H17</f>
        <v>0</v>
      </c>
    </row>
    <row r="18" spans="3:7" ht="12.75">
      <c r="C18" s="67" t="s">
        <v>153</v>
      </c>
      <c r="D18" s="68"/>
      <c r="E18" s="68"/>
      <c r="G18" s="18">
        <v>1</v>
      </c>
    </row>
    <row r="19" spans="1:62" ht="12.75">
      <c r="A19" s="6" t="s">
        <v>9</v>
      </c>
      <c r="B19" s="6" t="s">
        <v>76</v>
      </c>
      <c r="C19" s="79" t="s">
        <v>154</v>
      </c>
      <c r="D19" s="80"/>
      <c r="E19" s="80"/>
      <c r="F19" s="6" t="s">
        <v>382</v>
      </c>
      <c r="G19" s="19">
        <f>'Stavební rozpočet'!G19</f>
        <v>1</v>
      </c>
      <c r="H19" s="19">
        <f>'Stavební rozpočet'!H19</f>
        <v>0</v>
      </c>
      <c r="I19" s="19">
        <f>G19*AO19</f>
        <v>0</v>
      </c>
      <c r="J19" s="19">
        <f>G19*AP19</f>
        <v>0</v>
      </c>
      <c r="K19" s="19">
        <f>G19*H19</f>
        <v>0</v>
      </c>
      <c r="L19" s="31" t="s">
        <v>407</v>
      </c>
      <c r="Z19" s="35">
        <f>IF(AQ19="5",BJ19,0)</f>
        <v>0</v>
      </c>
      <c r="AB19" s="35">
        <f>IF(AQ19="1",BH19,0)</f>
        <v>0</v>
      </c>
      <c r="AC19" s="35">
        <f>IF(AQ19="1",BI19,0)</f>
        <v>0</v>
      </c>
      <c r="AD19" s="35">
        <f>IF(AQ19="7",BH19,0)</f>
        <v>0</v>
      </c>
      <c r="AE19" s="35">
        <f>IF(AQ19="7",BI19,0)</f>
        <v>0</v>
      </c>
      <c r="AF19" s="35">
        <f>IF(AQ19="2",BH19,0)</f>
        <v>0</v>
      </c>
      <c r="AG19" s="35">
        <f>IF(AQ19="2",BI19,0)</f>
        <v>0</v>
      </c>
      <c r="AH19" s="35">
        <f>IF(AQ19="0",BJ19,0)</f>
        <v>0</v>
      </c>
      <c r="AI19" s="29" t="s">
        <v>417</v>
      </c>
      <c r="AJ19" s="19">
        <f>IF(AN19=0,K19,0)</f>
        <v>0</v>
      </c>
      <c r="AK19" s="19">
        <f>IF(AN19=15,K19,0)</f>
        <v>0</v>
      </c>
      <c r="AL19" s="19">
        <f>IF(AN19=21,K19,0)</f>
        <v>0</v>
      </c>
      <c r="AN19" s="35">
        <v>21</v>
      </c>
      <c r="AO19" s="35">
        <f>H19*1</f>
        <v>0</v>
      </c>
      <c r="AP19" s="35">
        <f>H19*(1-1)</f>
        <v>0</v>
      </c>
      <c r="AQ19" s="31" t="s">
        <v>13</v>
      </c>
      <c r="AV19" s="35">
        <f>AW19+AX19</f>
        <v>0</v>
      </c>
      <c r="AW19" s="35">
        <f>G19*AO19</f>
        <v>0</v>
      </c>
      <c r="AX19" s="35">
        <f>G19*AP19</f>
        <v>0</v>
      </c>
      <c r="AY19" s="36" t="s">
        <v>421</v>
      </c>
      <c r="AZ19" s="36" t="s">
        <v>437</v>
      </c>
      <c r="BA19" s="29" t="s">
        <v>449</v>
      </c>
      <c r="BC19" s="35">
        <f>AW19+AX19</f>
        <v>0</v>
      </c>
      <c r="BD19" s="35">
        <f>H19/(100-BE19)*100</f>
        <v>0</v>
      </c>
      <c r="BE19" s="35">
        <v>0</v>
      </c>
      <c r="BF19" s="35">
        <f>19</f>
        <v>19</v>
      </c>
      <c r="BH19" s="19">
        <f>G19*AO19</f>
        <v>0</v>
      </c>
      <c r="BI19" s="19">
        <f>G19*AP19</f>
        <v>0</v>
      </c>
      <c r="BJ19" s="19">
        <f>G19*H19</f>
        <v>0</v>
      </c>
    </row>
    <row r="20" spans="3:7" ht="12.75">
      <c r="C20" s="67" t="s">
        <v>155</v>
      </c>
      <c r="D20" s="68"/>
      <c r="E20" s="68"/>
      <c r="G20" s="18">
        <v>1</v>
      </c>
    </row>
    <row r="21" spans="1:62" ht="12.75">
      <c r="A21" s="5" t="s">
        <v>10</v>
      </c>
      <c r="B21" s="5" t="s">
        <v>77</v>
      </c>
      <c r="C21" s="69" t="s">
        <v>156</v>
      </c>
      <c r="D21" s="70"/>
      <c r="E21" s="70"/>
      <c r="F21" s="5" t="s">
        <v>382</v>
      </c>
      <c r="G21" s="17">
        <f>'Stavební rozpočet'!G21</f>
        <v>1</v>
      </c>
      <c r="H21" s="17">
        <f>'Stavební rozpočet'!H21</f>
        <v>0</v>
      </c>
      <c r="I21" s="17">
        <f>G21*AO21</f>
        <v>0</v>
      </c>
      <c r="J21" s="17">
        <f>G21*AP21</f>
        <v>0</v>
      </c>
      <c r="K21" s="17">
        <f>G21*H21</f>
        <v>0</v>
      </c>
      <c r="L21" s="30" t="s">
        <v>407</v>
      </c>
      <c r="Z21" s="35">
        <f>IF(AQ21="5",BJ21,0)</f>
        <v>0</v>
      </c>
      <c r="AB21" s="35">
        <f>IF(AQ21="1",BH21,0)</f>
        <v>0</v>
      </c>
      <c r="AC21" s="35">
        <f>IF(AQ21="1",BI21,0)</f>
        <v>0</v>
      </c>
      <c r="AD21" s="35">
        <f>IF(AQ21="7",BH21,0)</f>
        <v>0</v>
      </c>
      <c r="AE21" s="35">
        <f>IF(AQ21="7",BI21,0)</f>
        <v>0</v>
      </c>
      <c r="AF21" s="35">
        <f>IF(AQ21="2",BH21,0)</f>
        <v>0</v>
      </c>
      <c r="AG21" s="35">
        <f>IF(AQ21="2",BI21,0)</f>
        <v>0</v>
      </c>
      <c r="AH21" s="35">
        <f>IF(AQ21="0",BJ21,0)</f>
        <v>0</v>
      </c>
      <c r="AI21" s="29" t="s">
        <v>417</v>
      </c>
      <c r="AJ21" s="17">
        <f>IF(AN21=0,K21,0)</f>
        <v>0</v>
      </c>
      <c r="AK21" s="17">
        <f>IF(AN21=15,K21,0)</f>
        <v>0</v>
      </c>
      <c r="AL21" s="17">
        <f>IF(AN21=21,K21,0)</f>
        <v>0</v>
      </c>
      <c r="AN21" s="35">
        <v>21</v>
      </c>
      <c r="AO21" s="35">
        <f>H21*0</f>
        <v>0</v>
      </c>
      <c r="AP21" s="35">
        <f>H21*(1-0)</f>
        <v>0</v>
      </c>
      <c r="AQ21" s="30" t="s">
        <v>13</v>
      </c>
      <c r="AV21" s="35">
        <f>AW21+AX21</f>
        <v>0</v>
      </c>
      <c r="AW21" s="35">
        <f>G21*AO21</f>
        <v>0</v>
      </c>
      <c r="AX21" s="35">
        <f>G21*AP21</f>
        <v>0</v>
      </c>
      <c r="AY21" s="36" t="s">
        <v>421</v>
      </c>
      <c r="AZ21" s="36" t="s">
        <v>437</v>
      </c>
      <c r="BA21" s="29" t="s">
        <v>449</v>
      </c>
      <c r="BC21" s="35">
        <f>AW21+AX21</f>
        <v>0</v>
      </c>
      <c r="BD21" s="35">
        <f>H21/(100-BE21)*100</f>
        <v>0</v>
      </c>
      <c r="BE21" s="35">
        <v>0</v>
      </c>
      <c r="BF21" s="35">
        <f>21</f>
        <v>21</v>
      </c>
      <c r="BH21" s="17">
        <f>G21*AO21</f>
        <v>0</v>
      </c>
      <c r="BI21" s="17">
        <f>G21*AP21</f>
        <v>0</v>
      </c>
      <c r="BJ21" s="17">
        <f>G21*H21</f>
        <v>0</v>
      </c>
    </row>
    <row r="22" spans="3:7" ht="12.75">
      <c r="C22" s="67" t="s">
        <v>157</v>
      </c>
      <c r="D22" s="68"/>
      <c r="E22" s="68"/>
      <c r="G22" s="18">
        <v>1</v>
      </c>
    </row>
    <row r="23" spans="1:62" ht="12.75">
      <c r="A23" s="6" t="s">
        <v>11</v>
      </c>
      <c r="B23" s="6" t="s">
        <v>78</v>
      </c>
      <c r="C23" s="79" t="s">
        <v>158</v>
      </c>
      <c r="D23" s="80"/>
      <c r="E23" s="80"/>
      <c r="F23" s="6" t="s">
        <v>382</v>
      </c>
      <c r="G23" s="19">
        <f>'Stavební rozpočet'!G23</f>
        <v>1</v>
      </c>
      <c r="H23" s="19">
        <f>'Stavební rozpočet'!H23</f>
        <v>0</v>
      </c>
      <c r="I23" s="19">
        <f>G23*AO23</f>
        <v>0</v>
      </c>
      <c r="J23" s="19">
        <f>G23*AP23</f>
        <v>0</v>
      </c>
      <c r="K23" s="19">
        <f>G23*H23</f>
        <v>0</v>
      </c>
      <c r="L23" s="31" t="s">
        <v>407</v>
      </c>
      <c r="Z23" s="35">
        <f>IF(AQ23="5",BJ23,0)</f>
        <v>0</v>
      </c>
      <c r="AB23" s="35">
        <f>IF(AQ23="1",BH23,0)</f>
        <v>0</v>
      </c>
      <c r="AC23" s="35">
        <f>IF(AQ23="1",BI23,0)</f>
        <v>0</v>
      </c>
      <c r="AD23" s="35">
        <f>IF(AQ23="7",BH23,0)</f>
        <v>0</v>
      </c>
      <c r="AE23" s="35">
        <f>IF(AQ23="7",BI23,0)</f>
        <v>0</v>
      </c>
      <c r="AF23" s="35">
        <f>IF(AQ23="2",BH23,0)</f>
        <v>0</v>
      </c>
      <c r="AG23" s="35">
        <f>IF(AQ23="2",BI23,0)</f>
        <v>0</v>
      </c>
      <c r="AH23" s="35">
        <f>IF(AQ23="0",BJ23,0)</f>
        <v>0</v>
      </c>
      <c r="AI23" s="29" t="s">
        <v>417</v>
      </c>
      <c r="AJ23" s="19">
        <f>IF(AN23=0,K23,0)</f>
        <v>0</v>
      </c>
      <c r="AK23" s="19">
        <f>IF(AN23=15,K23,0)</f>
        <v>0</v>
      </c>
      <c r="AL23" s="19">
        <f>IF(AN23=21,K23,0)</f>
        <v>0</v>
      </c>
      <c r="AN23" s="35">
        <v>21</v>
      </c>
      <c r="AO23" s="35">
        <f>H23*1</f>
        <v>0</v>
      </c>
      <c r="AP23" s="35">
        <f>H23*(1-1)</f>
        <v>0</v>
      </c>
      <c r="AQ23" s="31" t="s">
        <v>13</v>
      </c>
      <c r="AV23" s="35">
        <f>AW23+AX23</f>
        <v>0</v>
      </c>
      <c r="AW23" s="35">
        <f>G23*AO23</f>
        <v>0</v>
      </c>
      <c r="AX23" s="35">
        <f>G23*AP23</f>
        <v>0</v>
      </c>
      <c r="AY23" s="36" t="s">
        <v>421</v>
      </c>
      <c r="AZ23" s="36" t="s">
        <v>437</v>
      </c>
      <c r="BA23" s="29" t="s">
        <v>449</v>
      </c>
      <c r="BC23" s="35">
        <f>AW23+AX23</f>
        <v>0</v>
      </c>
      <c r="BD23" s="35">
        <f>H23/(100-BE23)*100</f>
        <v>0</v>
      </c>
      <c r="BE23" s="35">
        <v>0</v>
      </c>
      <c r="BF23" s="35">
        <f>23</f>
        <v>23</v>
      </c>
      <c r="BH23" s="19">
        <f>G23*AO23</f>
        <v>0</v>
      </c>
      <c r="BI23" s="19">
        <f>G23*AP23</f>
        <v>0</v>
      </c>
      <c r="BJ23" s="19">
        <f>G23*H23</f>
        <v>0</v>
      </c>
    </row>
    <row r="24" spans="3:7" ht="12.75">
      <c r="C24" s="67" t="s">
        <v>157</v>
      </c>
      <c r="D24" s="68"/>
      <c r="E24" s="68"/>
      <c r="G24" s="18">
        <v>1</v>
      </c>
    </row>
    <row r="25" spans="1:62" ht="12.75">
      <c r="A25" s="5" t="s">
        <v>12</v>
      </c>
      <c r="B25" s="5" t="s">
        <v>79</v>
      </c>
      <c r="C25" s="69" t="s">
        <v>159</v>
      </c>
      <c r="D25" s="70"/>
      <c r="E25" s="70"/>
      <c r="F25" s="5" t="s">
        <v>383</v>
      </c>
      <c r="G25" s="17">
        <f>'Stavební rozpočet'!G25</f>
        <v>0.094</v>
      </c>
      <c r="H25" s="17">
        <f>'Stavební rozpočet'!H25</f>
        <v>0</v>
      </c>
      <c r="I25" s="17">
        <f>G25*AO25</f>
        <v>0</v>
      </c>
      <c r="J25" s="17">
        <f>G25*AP25</f>
        <v>0</v>
      </c>
      <c r="K25" s="17">
        <f>G25*H25</f>
        <v>0</v>
      </c>
      <c r="L25" s="30" t="s">
        <v>407</v>
      </c>
      <c r="Z25" s="35">
        <f>IF(AQ25="5",BJ25,0)</f>
        <v>0</v>
      </c>
      <c r="AB25" s="35">
        <f>IF(AQ25="1",BH25,0)</f>
        <v>0</v>
      </c>
      <c r="AC25" s="35">
        <f>IF(AQ25="1",BI25,0)</f>
        <v>0</v>
      </c>
      <c r="AD25" s="35">
        <f>IF(AQ25="7",BH25,0)</f>
        <v>0</v>
      </c>
      <c r="AE25" s="35">
        <f>IF(AQ25="7",BI25,0)</f>
        <v>0</v>
      </c>
      <c r="AF25" s="35">
        <f>IF(AQ25="2",BH25,0)</f>
        <v>0</v>
      </c>
      <c r="AG25" s="35">
        <f>IF(AQ25="2",BI25,0)</f>
        <v>0</v>
      </c>
      <c r="AH25" s="35">
        <f>IF(AQ25="0",BJ25,0)</f>
        <v>0</v>
      </c>
      <c r="AI25" s="29" t="s">
        <v>417</v>
      </c>
      <c r="AJ25" s="17">
        <f>IF(AN25=0,K25,0)</f>
        <v>0</v>
      </c>
      <c r="AK25" s="17">
        <f>IF(AN25=15,K25,0)</f>
        <v>0</v>
      </c>
      <c r="AL25" s="17">
        <f>IF(AN25=21,K25,0)</f>
        <v>0</v>
      </c>
      <c r="AN25" s="35">
        <v>21</v>
      </c>
      <c r="AO25" s="35">
        <f>H25*0</f>
        <v>0</v>
      </c>
      <c r="AP25" s="35">
        <f>H25*(1-0)</f>
        <v>0</v>
      </c>
      <c r="AQ25" s="30" t="s">
        <v>11</v>
      </c>
      <c r="AV25" s="35">
        <f>AW25+AX25</f>
        <v>0</v>
      </c>
      <c r="AW25" s="35">
        <f>G25*AO25</f>
        <v>0</v>
      </c>
      <c r="AX25" s="35">
        <f>G25*AP25</f>
        <v>0</v>
      </c>
      <c r="AY25" s="36" t="s">
        <v>421</v>
      </c>
      <c r="AZ25" s="36" t="s">
        <v>437</v>
      </c>
      <c r="BA25" s="29" t="s">
        <v>449</v>
      </c>
      <c r="BC25" s="35">
        <f>AW25+AX25</f>
        <v>0</v>
      </c>
      <c r="BD25" s="35">
        <f>H25/(100-BE25)*100</f>
        <v>0</v>
      </c>
      <c r="BE25" s="35">
        <v>0</v>
      </c>
      <c r="BF25" s="35">
        <f>25</f>
        <v>25</v>
      </c>
      <c r="BH25" s="17">
        <f>G25*AO25</f>
        <v>0</v>
      </c>
      <c r="BI25" s="17">
        <f>G25*AP25</f>
        <v>0</v>
      </c>
      <c r="BJ25" s="17">
        <f>G25*H25</f>
        <v>0</v>
      </c>
    </row>
    <row r="26" spans="3:7" ht="12.75">
      <c r="C26" s="67" t="s">
        <v>160</v>
      </c>
      <c r="D26" s="68"/>
      <c r="E26" s="68"/>
      <c r="G26" s="18">
        <v>0.094</v>
      </c>
    </row>
    <row r="27" spans="1:47" ht="12.75">
      <c r="A27" s="4"/>
      <c r="B27" s="14" t="s">
        <v>457</v>
      </c>
      <c r="C27" s="75" t="s">
        <v>462</v>
      </c>
      <c r="D27" s="76"/>
      <c r="E27" s="76"/>
      <c r="F27" s="4" t="s">
        <v>6</v>
      </c>
      <c r="G27" s="4" t="s">
        <v>6</v>
      </c>
      <c r="H27" s="4" t="s">
        <v>6</v>
      </c>
      <c r="I27" s="38">
        <f>SUM(I28:I40)</f>
        <v>0</v>
      </c>
      <c r="J27" s="38">
        <f>SUM(J28:J40)</f>
        <v>0</v>
      </c>
      <c r="K27" s="38">
        <f>SUM(K28:K40)</f>
        <v>0</v>
      </c>
      <c r="L27" s="29"/>
      <c r="AI27" s="29" t="s">
        <v>417</v>
      </c>
      <c r="AS27" s="38">
        <f>SUM(AJ28:AJ40)</f>
        <v>0</v>
      </c>
      <c r="AT27" s="38">
        <f>SUM(AK28:AK40)</f>
        <v>0</v>
      </c>
      <c r="AU27" s="38">
        <f>SUM(AL28:AL40)</f>
        <v>0</v>
      </c>
    </row>
    <row r="28" spans="1:62" ht="12.75">
      <c r="A28" s="5" t="s">
        <v>13</v>
      </c>
      <c r="B28" s="5" t="s">
        <v>81</v>
      </c>
      <c r="C28" s="69" t="s">
        <v>162</v>
      </c>
      <c r="D28" s="70"/>
      <c r="E28" s="70"/>
      <c r="F28" s="5" t="s">
        <v>384</v>
      </c>
      <c r="G28" s="17">
        <f>'Stavební rozpočet'!G28</f>
        <v>1.731</v>
      </c>
      <c r="H28" s="17">
        <f>'Stavební rozpočet'!H28</f>
        <v>0</v>
      </c>
      <c r="I28" s="17">
        <f>G28*AO28</f>
        <v>0</v>
      </c>
      <c r="J28" s="17">
        <f>G28*AP28</f>
        <v>0</v>
      </c>
      <c r="K28" s="17">
        <f>G28*H28</f>
        <v>0</v>
      </c>
      <c r="L28" s="30" t="s">
        <v>407</v>
      </c>
      <c r="Z28" s="35">
        <f>IF(AQ28="5",BJ28,0)</f>
        <v>0</v>
      </c>
      <c r="AB28" s="35">
        <f>IF(AQ28="1",BH28,0)</f>
        <v>0</v>
      </c>
      <c r="AC28" s="35">
        <f>IF(AQ28="1",BI28,0)</f>
        <v>0</v>
      </c>
      <c r="AD28" s="35">
        <f>IF(AQ28="7",BH28,0)</f>
        <v>0</v>
      </c>
      <c r="AE28" s="35">
        <f>IF(AQ28="7",BI28,0)</f>
        <v>0</v>
      </c>
      <c r="AF28" s="35">
        <f>IF(AQ28="2",BH28,0)</f>
        <v>0</v>
      </c>
      <c r="AG28" s="35">
        <f>IF(AQ28="2",BI28,0)</f>
        <v>0</v>
      </c>
      <c r="AH28" s="35">
        <f>IF(AQ28="0",BJ28,0)</f>
        <v>0</v>
      </c>
      <c r="AI28" s="29" t="s">
        <v>417</v>
      </c>
      <c r="AJ28" s="17">
        <f>IF(AN28=0,K28,0)</f>
        <v>0</v>
      </c>
      <c r="AK28" s="17">
        <f>IF(AN28=15,K28,0)</f>
        <v>0</v>
      </c>
      <c r="AL28" s="17">
        <f>IF(AN28=21,K28,0)</f>
        <v>0</v>
      </c>
      <c r="AN28" s="35">
        <v>21</v>
      </c>
      <c r="AO28" s="35">
        <f>H28*0</f>
        <v>0</v>
      </c>
      <c r="AP28" s="35">
        <f>H28*(1-0)</f>
        <v>0</v>
      </c>
      <c r="AQ28" s="30" t="s">
        <v>13</v>
      </c>
      <c r="AV28" s="35">
        <f>AW28+AX28</f>
        <v>0</v>
      </c>
      <c r="AW28" s="35">
        <f>G28*AO28</f>
        <v>0</v>
      </c>
      <c r="AX28" s="35">
        <f>G28*AP28</f>
        <v>0</v>
      </c>
      <c r="AY28" s="36" t="s">
        <v>422</v>
      </c>
      <c r="AZ28" s="36" t="s">
        <v>438</v>
      </c>
      <c r="BA28" s="29" t="s">
        <v>449</v>
      </c>
      <c r="BC28" s="35">
        <f>AW28+AX28</f>
        <v>0</v>
      </c>
      <c r="BD28" s="35">
        <f>H28/(100-BE28)*100</f>
        <v>0</v>
      </c>
      <c r="BE28" s="35">
        <v>0</v>
      </c>
      <c r="BF28" s="35">
        <f>28</f>
        <v>28</v>
      </c>
      <c r="BH28" s="17">
        <f>G28*AO28</f>
        <v>0</v>
      </c>
      <c r="BI28" s="17">
        <f>G28*AP28</f>
        <v>0</v>
      </c>
      <c r="BJ28" s="17">
        <f>G28*H28</f>
        <v>0</v>
      </c>
    </row>
    <row r="29" spans="3:7" ht="12.75">
      <c r="C29" s="67" t="s">
        <v>163</v>
      </c>
      <c r="D29" s="68"/>
      <c r="E29" s="68"/>
      <c r="G29" s="18">
        <v>0.506</v>
      </c>
    </row>
    <row r="30" spans="3:7" ht="12.75">
      <c r="C30" s="67" t="s">
        <v>164</v>
      </c>
      <c r="D30" s="68"/>
      <c r="E30" s="68"/>
      <c r="G30" s="18">
        <v>1.225</v>
      </c>
    </row>
    <row r="31" spans="1:62" ht="12.75">
      <c r="A31" s="5" t="s">
        <v>14</v>
      </c>
      <c r="B31" s="5" t="s">
        <v>82</v>
      </c>
      <c r="C31" s="69" t="s">
        <v>165</v>
      </c>
      <c r="D31" s="70"/>
      <c r="E31" s="70"/>
      <c r="F31" s="5" t="s">
        <v>384</v>
      </c>
      <c r="G31" s="17">
        <f>'Stavební rozpočet'!G31</f>
        <v>1.731</v>
      </c>
      <c r="H31" s="17">
        <f>'Stavební rozpočet'!H31</f>
        <v>0</v>
      </c>
      <c r="I31" s="17">
        <f>G31*AO31</f>
        <v>0</v>
      </c>
      <c r="J31" s="17">
        <f>G31*AP31</f>
        <v>0</v>
      </c>
      <c r="K31" s="17">
        <f>G31*H31</f>
        <v>0</v>
      </c>
      <c r="L31" s="30" t="s">
        <v>407</v>
      </c>
      <c r="Z31" s="35">
        <f>IF(AQ31="5",BJ31,0)</f>
        <v>0</v>
      </c>
      <c r="AB31" s="35">
        <f>IF(AQ31="1",BH31,0)</f>
        <v>0</v>
      </c>
      <c r="AC31" s="35">
        <f>IF(AQ31="1",BI31,0)</f>
        <v>0</v>
      </c>
      <c r="AD31" s="35">
        <f>IF(AQ31="7",BH31,0)</f>
        <v>0</v>
      </c>
      <c r="AE31" s="35">
        <f>IF(AQ31="7",BI31,0)</f>
        <v>0</v>
      </c>
      <c r="AF31" s="35">
        <f>IF(AQ31="2",BH31,0)</f>
        <v>0</v>
      </c>
      <c r="AG31" s="35">
        <f>IF(AQ31="2",BI31,0)</f>
        <v>0</v>
      </c>
      <c r="AH31" s="35">
        <f>IF(AQ31="0",BJ31,0)</f>
        <v>0</v>
      </c>
      <c r="AI31" s="29" t="s">
        <v>417</v>
      </c>
      <c r="AJ31" s="17">
        <f>IF(AN31=0,K31,0)</f>
        <v>0</v>
      </c>
      <c r="AK31" s="17">
        <f>IF(AN31=15,K31,0)</f>
        <v>0</v>
      </c>
      <c r="AL31" s="17">
        <f>IF(AN31=21,K31,0)</f>
        <v>0</v>
      </c>
      <c r="AN31" s="35">
        <v>21</v>
      </c>
      <c r="AO31" s="35">
        <f>H31*0</f>
        <v>0</v>
      </c>
      <c r="AP31" s="35">
        <f>H31*(1-0)</f>
        <v>0</v>
      </c>
      <c r="AQ31" s="30" t="s">
        <v>13</v>
      </c>
      <c r="AV31" s="35">
        <f>AW31+AX31</f>
        <v>0</v>
      </c>
      <c r="AW31" s="35">
        <f>G31*AO31</f>
        <v>0</v>
      </c>
      <c r="AX31" s="35">
        <f>G31*AP31</f>
        <v>0</v>
      </c>
      <c r="AY31" s="36" t="s">
        <v>422</v>
      </c>
      <c r="AZ31" s="36" t="s">
        <v>438</v>
      </c>
      <c r="BA31" s="29" t="s">
        <v>449</v>
      </c>
      <c r="BC31" s="35">
        <f>AW31+AX31</f>
        <v>0</v>
      </c>
      <c r="BD31" s="35">
        <f>H31/(100-BE31)*100</f>
        <v>0</v>
      </c>
      <c r="BE31" s="35">
        <v>0</v>
      </c>
      <c r="BF31" s="35">
        <f>31</f>
        <v>31</v>
      </c>
      <c r="BH31" s="17">
        <f>G31*AO31</f>
        <v>0</v>
      </c>
      <c r="BI31" s="17">
        <f>G31*AP31</f>
        <v>0</v>
      </c>
      <c r="BJ31" s="17">
        <f>G31*H31</f>
        <v>0</v>
      </c>
    </row>
    <row r="32" spans="3:7" ht="12.75">
      <c r="C32" s="67" t="s">
        <v>166</v>
      </c>
      <c r="D32" s="68"/>
      <c r="E32" s="68"/>
      <c r="G32" s="18">
        <v>1.731</v>
      </c>
    </row>
    <row r="33" spans="1:62" ht="12.75">
      <c r="A33" s="5" t="s">
        <v>15</v>
      </c>
      <c r="B33" s="5" t="s">
        <v>83</v>
      </c>
      <c r="C33" s="69" t="s">
        <v>167</v>
      </c>
      <c r="D33" s="70"/>
      <c r="E33" s="70"/>
      <c r="F33" s="5" t="s">
        <v>384</v>
      </c>
      <c r="G33" s="17">
        <f>'Stavební rozpočet'!G33</f>
        <v>1.731</v>
      </c>
      <c r="H33" s="17">
        <f>'Stavební rozpočet'!H33</f>
        <v>0</v>
      </c>
      <c r="I33" s="17">
        <f>G33*AO33</f>
        <v>0</v>
      </c>
      <c r="J33" s="17">
        <f>G33*AP33</f>
        <v>0</v>
      </c>
      <c r="K33" s="17">
        <f>G33*H33</f>
        <v>0</v>
      </c>
      <c r="L33" s="30" t="s">
        <v>407</v>
      </c>
      <c r="Z33" s="35">
        <f>IF(AQ33="5",BJ33,0)</f>
        <v>0</v>
      </c>
      <c r="AB33" s="35">
        <f>IF(AQ33="1",BH33,0)</f>
        <v>0</v>
      </c>
      <c r="AC33" s="35">
        <f>IF(AQ33="1",BI33,0)</f>
        <v>0</v>
      </c>
      <c r="AD33" s="35">
        <f>IF(AQ33="7",BH33,0)</f>
        <v>0</v>
      </c>
      <c r="AE33" s="35">
        <f>IF(AQ33="7",BI33,0)</f>
        <v>0</v>
      </c>
      <c r="AF33" s="35">
        <f>IF(AQ33="2",BH33,0)</f>
        <v>0</v>
      </c>
      <c r="AG33" s="35">
        <f>IF(AQ33="2",BI33,0)</f>
        <v>0</v>
      </c>
      <c r="AH33" s="35">
        <f>IF(AQ33="0",BJ33,0)</f>
        <v>0</v>
      </c>
      <c r="AI33" s="29" t="s">
        <v>417</v>
      </c>
      <c r="AJ33" s="17">
        <f>IF(AN33=0,K33,0)</f>
        <v>0</v>
      </c>
      <c r="AK33" s="17">
        <f>IF(AN33=15,K33,0)</f>
        <v>0</v>
      </c>
      <c r="AL33" s="17">
        <f>IF(AN33=21,K33,0)</f>
        <v>0</v>
      </c>
      <c r="AN33" s="35">
        <v>21</v>
      </c>
      <c r="AO33" s="35">
        <f>H33*0</f>
        <v>0</v>
      </c>
      <c r="AP33" s="35">
        <f>H33*(1-0)</f>
        <v>0</v>
      </c>
      <c r="AQ33" s="30" t="s">
        <v>13</v>
      </c>
      <c r="AV33" s="35">
        <f>AW33+AX33</f>
        <v>0</v>
      </c>
      <c r="AW33" s="35">
        <f>G33*AO33</f>
        <v>0</v>
      </c>
      <c r="AX33" s="35">
        <f>G33*AP33</f>
        <v>0</v>
      </c>
      <c r="AY33" s="36" t="s">
        <v>422</v>
      </c>
      <c r="AZ33" s="36" t="s">
        <v>438</v>
      </c>
      <c r="BA33" s="29" t="s">
        <v>449</v>
      </c>
      <c r="BC33" s="35">
        <f>AW33+AX33</f>
        <v>0</v>
      </c>
      <c r="BD33" s="35">
        <f>H33/(100-BE33)*100</f>
        <v>0</v>
      </c>
      <c r="BE33" s="35">
        <v>0</v>
      </c>
      <c r="BF33" s="35">
        <f>33</f>
        <v>33</v>
      </c>
      <c r="BH33" s="17">
        <f>G33*AO33</f>
        <v>0</v>
      </c>
      <c r="BI33" s="17">
        <f>G33*AP33</f>
        <v>0</v>
      </c>
      <c r="BJ33" s="17">
        <f>G33*H33</f>
        <v>0</v>
      </c>
    </row>
    <row r="34" spans="3:7" ht="12.75">
      <c r="C34" s="67" t="s">
        <v>166</v>
      </c>
      <c r="D34" s="68"/>
      <c r="E34" s="68"/>
      <c r="G34" s="18">
        <v>1.731</v>
      </c>
    </row>
    <row r="35" spans="1:62" ht="12.75">
      <c r="A35" s="5" t="s">
        <v>16</v>
      </c>
      <c r="B35" s="5" t="s">
        <v>84</v>
      </c>
      <c r="C35" s="69" t="s">
        <v>168</v>
      </c>
      <c r="D35" s="70"/>
      <c r="E35" s="70"/>
      <c r="F35" s="5" t="s">
        <v>384</v>
      </c>
      <c r="G35" s="17">
        <f>'Stavební rozpočet'!G35</f>
        <v>1.731</v>
      </c>
      <c r="H35" s="17">
        <f>'Stavební rozpočet'!H35</f>
        <v>0</v>
      </c>
      <c r="I35" s="17">
        <f>G35*AO35</f>
        <v>0</v>
      </c>
      <c r="J35" s="17">
        <f>G35*AP35</f>
        <v>0</v>
      </c>
      <c r="K35" s="17">
        <f>G35*H35</f>
        <v>0</v>
      </c>
      <c r="L35" s="30" t="s">
        <v>407</v>
      </c>
      <c r="Z35" s="35">
        <f>IF(AQ35="5",BJ35,0)</f>
        <v>0</v>
      </c>
      <c r="AB35" s="35">
        <f>IF(AQ35="1",BH35,0)</f>
        <v>0</v>
      </c>
      <c r="AC35" s="35">
        <f>IF(AQ35="1",BI35,0)</f>
        <v>0</v>
      </c>
      <c r="AD35" s="35">
        <f>IF(AQ35="7",BH35,0)</f>
        <v>0</v>
      </c>
      <c r="AE35" s="35">
        <f>IF(AQ35="7",BI35,0)</f>
        <v>0</v>
      </c>
      <c r="AF35" s="35">
        <f>IF(AQ35="2",BH35,0)</f>
        <v>0</v>
      </c>
      <c r="AG35" s="35">
        <f>IF(AQ35="2",BI35,0)</f>
        <v>0</v>
      </c>
      <c r="AH35" s="35">
        <f>IF(AQ35="0",BJ35,0)</f>
        <v>0</v>
      </c>
      <c r="AI35" s="29" t="s">
        <v>417</v>
      </c>
      <c r="AJ35" s="17">
        <f>IF(AN35=0,K35,0)</f>
        <v>0</v>
      </c>
      <c r="AK35" s="17">
        <f>IF(AN35=15,K35,0)</f>
        <v>0</v>
      </c>
      <c r="AL35" s="17">
        <f>IF(AN35=21,K35,0)</f>
        <v>0</v>
      </c>
      <c r="AN35" s="35">
        <v>21</v>
      </c>
      <c r="AO35" s="35">
        <f>H35*0</f>
        <v>0</v>
      </c>
      <c r="AP35" s="35">
        <f>H35*(1-0)</f>
        <v>0</v>
      </c>
      <c r="AQ35" s="30" t="s">
        <v>13</v>
      </c>
      <c r="AV35" s="35">
        <f>AW35+AX35</f>
        <v>0</v>
      </c>
      <c r="AW35" s="35">
        <f>G35*AO35</f>
        <v>0</v>
      </c>
      <c r="AX35" s="35">
        <f>G35*AP35</f>
        <v>0</v>
      </c>
      <c r="AY35" s="36" t="s">
        <v>422</v>
      </c>
      <c r="AZ35" s="36" t="s">
        <v>438</v>
      </c>
      <c r="BA35" s="29" t="s">
        <v>449</v>
      </c>
      <c r="BC35" s="35">
        <f>AW35+AX35</f>
        <v>0</v>
      </c>
      <c r="BD35" s="35">
        <f>H35/(100-BE35)*100</f>
        <v>0</v>
      </c>
      <c r="BE35" s="35">
        <v>0</v>
      </c>
      <c r="BF35" s="35">
        <f>35</f>
        <v>35</v>
      </c>
      <c r="BH35" s="17">
        <f>G35*AO35</f>
        <v>0</v>
      </c>
      <c r="BI35" s="17">
        <f>G35*AP35</f>
        <v>0</v>
      </c>
      <c r="BJ35" s="17">
        <f>G35*H35</f>
        <v>0</v>
      </c>
    </row>
    <row r="36" spans="3:7" ht="12.75">
      <c r="C36" s="67" t="s">
        <v>166</v>
      </c>
      <c r="D36" s="68"/>
      <c r="E36" s="68"/>
      <c r="G36" s="18">
        <v>1.731</v>
      </c>
    </row>
    <row r="37" spans="1:62" ht="12.75">
      <c r="A37" s="6" t="s">
        <v>17</v>
      </c>
      <c r="B37" s="6" t="s">
        <v>85</v>
      </c>
      <c r="C37" s="79" t="s">
        <v>169</v>
      </c>
      <c r="D37" s="80"/>
      <c r="E37" s="80"/>
      <c r="F37" s="6" t="s">
        <v>384</v>
      </c>
      <c r="G37" s="19">
        <f>'Stavební rozpočet'!G37</f>
        <v>2.5965</v>
      </c>
      <c r="H37" s="19">
        <f>'Stavební rozpočet'!H37</f>
        <v>0</v>
      </c>
      <c r="I37" s="19">
        <f>G37*AO37</f>
        <v>0</v>
      </c>
      <c r="J37" s="19">
        <f>G37*AP37</f>
        <v>0</v>
      </c>
      <c r="K37" s="19">
        <f>G37*H37</f>
        <v>0</v>
      </c>
      <c r="L37" s="31" t="s">
        <v>407</v>
      </c>
      <c r="Z37" s="35">
        <f>IF(AQ37="5",BJ37,0)</f>
        <v>0</v>
      </c>
      <c r="AB37" s="35">
        <f>IF(AQ37="1",BH37,0)</f>
        <v>0</v>
      </c>
      <c r="AC37" s="35">
        <f>IF(AQ37="1",BI37,0)</f>
        <v>0</v>
      </c>
      <c r="AD37" s="35">
        <f>IF(AQ37="7",BH37,0)</f>
        <v>0</v>
      </c>
      <c r="AE37" s="35">
        <f>IF(AQ37="7",BI37,0)</f>
        <v>0</v>
      </c>
      <c r="AF37" s="35">
        <f>IF(AQ37="2",BH37,0)</f>
        <v>0</v>
      </c>
      <c r="AG37" s="35">
        <f>IF(AQ37="2",BI37,0)</f>
        <v>0</v>
      </c>
      <c r="AH37" s="35">
        <f>IF(AQ37="0",BJ37,0)</f>
        <v>0</v>
      </c>
      <c r="AI37" s="29" t="s">
        <v>417</v>
      </c>
      <c r="AJ37" s="19">
        <f>IF(AN37=0,K37,0)</f>
        <v>0</v>
      </c>
      <c r="AK37" s="19">
        <f>IF(AN37=15,K37,0)</f>
        <v>0</v>
      </c>
      <c r="AL37" s="19">
        <f>IF(AN37=21,K37,0)</f>
        <v>0</v>
      </c>
      <c r="AN37" s="35">
        <v>21</v>
      </c>
      <c r="AO37" s="35">
        <f>H37*1</f>
        <v>0</v>
      </c>
      <c r="AP37" s="35">
        <f>H37*(1-1)</f>
        <v>0</v>
      </c>
      <c r="AQ37" s="31" t="s">
        <v>13</v>
      </c>
      <c r="AV37" s="35">
        <f>AW37+AX37</f>
        <v>0</v>
      </c>
      <c r="AW37" s="35">
        <f>G37*AO37</f>
        <v>0</v>
      </c>
      <c r="AX37" s="35">
        <f>G37*AP37</f>
        <v>0</v>
      </c>
      <c r="AY37" s="36" t="s">
        <v>422</v>
      </c>
      <c r="AZ37" s="36" t="s">
        <v>438</v>
      </c>
      <c r="BA37" s="29" t="s">
        <v>449</v>
      </c>
      <c r="BC37" s="35">
        <f>AW37+AX37</f>
        <v>0</v>
      </c>
      <c r="BD37" s="35">
        <f>H37/(100-BE37)*100</f>
        <v>0</v>
      </c>
      <c r="BE37" s="35">
        <v>0</v>
      </c>
      <c r="BF37" s="35">
        <f>37</f>
        <v>37</v>
      </c>
      <c r="BH37" s="19">
        <f>G37*AO37</f>
        <v>0</v>
      </c>
      <c r="BI37" s="19">
        <f>G37*AP37</f>
        <v>0</v>
      </c>
      <c r="BJ37" s="19">
        <f>G37*H37</f>
        <v>0</v>
      </c>
    </row>
    <row r="38" spans="3:7" ht="12.75">
      <c r="C38" s="67" t="s">
        <v>166</v>
      </c>
      <c r="D38" s="68"/>
      <c r="E38" s="68"/>
      <c r="G38" s="18">
        <v>1.731</v>
      </c>
    </row>
    <row r="39" spans="3:7" ht="12.75">
      <c r="C39" s="67" t="s">
        <v>170</v>
      </c>
      <c r="D39" s="68"/>
      <c r="E39" s="68"/>
      <c r="G39" s="18">
        <v>0.8655</v>
      </c>
    </row>
    <row r="40" spans="1:62" ht="12.75">
      <c r="A40" s="5" t="s">
        <v>18</v>
      </c>
      <c r="B40" s="5" t="s">
        <v>86</v>
      </c>
      <c r="C40" s="69" t="s">
        <v>171</v>
      </c>
      <c r="D40" s="70"/>
      <c r="E40" s="70"/>
      <c r="F40" s="5" t="s">
        <v>383</v>
      </c>
      <c r="G40" s="17">
        <f>'Stavební rozpočet'!G40</f>
        <v>0.05</v>
      </c>
      <c r="H40" s="17">
        <f>'Stavební rozpočet'!H40</f>
        <v>0</v>
      </c>
      <c r="I40" s="17">
        <f>G40*AO40</f>
        <v>0</v>
      </c>
      <c r="J40" s="17">
        <f>G40*AP40</f>
        <v>0</v>
      </c>
      <c r="K40" s="17">
        <f>G40*H40</f>
        <v>0</v>
      </c>
      <c r="L40" s="30" t="s">
        <v>407</v>
      </c>
      <c r="Z40" s="35">
        <f>IF(AQ40="5",BJ40,0)</f>
        <v>0</v>
      </c>
      <c r="AB40" s="35">
        <f>IF(AQ40="1",BH40,0)</f>
        <v>0</v>
      </c>
      <c r="AC40" s="35">
        <f>IF(AQ40="1",BI40,0)</f>
        <v>0</v>
      </c>
      <c r="AD40" s="35">
        <f>IF(AQ40="7",BH40,0)</f>
        <v>0</v>
      </c>
      <c r="AE40" s="35">
        <f>IF(AQ40="7",BI40,0)</f>
        <v>0</v>
      </c>
      <c r="AF40" s="35">
        <f>IF(AQ40="2",BH40,0)</f>
        <v>0</v>
      </c>
      <c r="AG40" s="35">
        <f>IF(AQ40="2",BI40,0)</f>
        <v>0</v>
      </c>
      <c r="AH40" s="35">
        <f>IF(AQ40="0",BJ40,0)</f>
        <v>0</v>
      </c>
      <c r="AI40" s="29" t="s">
        <v>417</v>
      </c>
      <c r="AJ40" s="17">
        <f>IF(AN40=0,K40,0)</f>
        <v>0</v>
      </c>
      <c r="AK40" s="17">
        <f>IF(AN40=15,K40,0)</f>
        <v>0</v>
      </c>
      <c r="AL40" s="17">
        <f>IF(AN40=21,K40,0)</f>
        <v>0</v>
      </c>
      <c r="AN40" s="35">
        <v>21</v>
      </c>
      <c r="AO40" s="35">
        <f>H40*0</f>
        <v>0</v>
      </c>
      <c r="AP40" s="35">
        <f>H40*(1-0)</f>
        <v>0</v>
      </c>
      <c r="AQ40" s="30" t="s">
        <v>11</v>
      </c>
      <c r="AV40" s="35">
        <f>AW40+AX40</f>
        <v>0</v>
      </c>
      <c r="AW40" s="35">
        <f>G40*AO40</f>
        <v>0</v>
      </c>
      <c r="AX40" s="35">
        <f>G40*AP40</f>
        <v>0</v>
      </c>
      <c r="AY40" s="36" t="s">
        <v>422</v>
      </c>
      <c r="AZ40" s="36" t="s">
        <v>438</v>
      </c>
      <c r="BA40" s="29" t="s">
        <v>449</v>
      </c>
      <c r="BC40" s="35">
        <f>AW40+AX40</f>
        <v>0</v>
      </c>
      <c r="BD40" s="35">
        <f>H40/(100-BE40)*100</f>
        <v>0</v>
      </c>
      <c r="BE40" s="35">
        <v>0</v>
      </c>
      <c r="BF40" s="35">
        <f>40</f>
        <v>40</v>
      </c>
      <c r="BH40" s="17">
        <f>G40*AO40</f>
        <v>0</v>
      </c>
      <c r="BI40" s="17">
        <f>G40*AP40</f>
        <v>0</v>
      </c>
      <c r="BJ40" s="17">
        <f>G40*H40</f>
        <v>0</v>
      </c>
    </row>
    <row r="41" spans="3:7" ht="12.75">
      <c r="C41" s="67" t="s">
        <v>172</v>
      </c>
      <c r="D41" s="68"/>
      <c r="E41" s="68"/>
      <c r="G41" s="18">
        <v>0.05</v>
      </c>
    </row>
    <row r="42" spans="1:47" ht="12.75">
      <c r="A42" s="4"/>
      <c r="B42" s="14" t="s">
        <v>458</v>
      </c>
      <c r="C42" s="75" t="s">
        <v>463</v>
      </c>
      <c r="D42" s="76"/>
      <c r="E42" s="76"/>
      <c r="F42" s="4" t="s">
        <v>6</v>
      </c>
      <c r="G42" s="4" t="s">
        <v>6</v>
      </c>
      <c r="H42" s="4" t="s">
        <v>6</v>
      </c>
      <c r="I42" s="38">
        <f>SUM(I43:I49)</f>
        <v>0</v>
      </c>
      <c r="J42" s="38">
        <f>SUM(J43:J49)</f>
        <v>0</v>
      </c>
      <c r="K42" s="38">
        <f>SUM(K43:K49)</f>
        <v>0</v>
      </c>
      <c r="L42" s="29"/>
      <c r="AI42" s="29" t="s">
        <v>417</v>
      </c>
      <c r="AS42" s="38">
        <f>SUM(AJ43:AJ49)</f>
        <v>0</v>
      </c>
      <c r="AT42" s="38">
        <f>SUM(AK43:AK49)</f>
        <v>0</v>
      </c>
      <c r="AU42" s="38">
        <f>SUM(AL43:AL49)</f>
        <v>0</v>
      </c>
    </row>
    <row r="43" spans="1:62" ht="12.75">
      <c r="A43" s="5" t="s">
        <v>19</v>
      </c>
      <c r="B43" s="5" t="s">
        <v>88</v>
      </c>
      <c r="C43" s="69" t="s">
        <v>174</v>
      </c>
      <c r="D43" s="70"/>
      <c r="E43" s="70"/>
      <c r="F43" s="5" t="s">
        <v>384</v>
      </c>
      <c r="G43" s="17">
        <f>'Stavební rozpočet'!G43</f>
        <v>73.7317</v>
      </c>
      <c r="H43" s="17">
        <f>'Stavební rozpočet'!H43</f>
        <v>0</v>
      </c>
      <c r="I43" s="17">
        <f>G43*AO43</f>
        <v>0</v>
      </c>
      <c r="J43" s="17">
        <f>G43*AP43</f>
        <v>0</v>
      </c>
      <c r="K43" s="17">
        <f>G43*H43</f>
        <v>0</v>
      </c>
      <c r="L43" s="30" t="s">
        <v>407</v>
      </c>
      <c r="Z43" s="35">
        <f>IF(AQ43="5",BJ43,0)</f>
        <v>0</v>
      </c>
      <c r="AB43" s="35">
        <f>IF(AQ43="1",BH43,0)</f>
        <v>0</v>
      </c>
      <c r="AC43" s="35">
        <f>IF(AQ43="1",BI43,0)</f>
        <v>0</v>
      </c>
      <c r="AD43" s="35">
        <f>IF(AQ43="7",BH43,0)</f>
        <v>0</v>
      </c>
      <c r="AE43" s="35">
        <f>IF(AQ43="7",BI43,0)</f>
        <v>0</v>
      </c>
      <c r="AF43" s="35">
        <f>IF(AQ43="2",BH43,0)</f>
        <v>0</v>
      </c>
      <c r="AG43" s="35">
        <f>IF(AQ43="2",BI43,0)</f>
        <v>0</v>
      </c>
      <c r="AH43" s="35">
        <f>IF(AQ43="0",BJ43,0)</f>
        <v>0</v>
      </c>
      <c r="AI43" s="29" t="s">
        <v>417</v>
      </c>
      <c r="AJ43" s="17">
        <f>IF(AN43=0,K43,0)</f>
        <v>0</v>
      </c>
      <c r="AK43" s="17">
        <f>IF(AN43=15,K43,0)</f>
        <v>0</v>
      </c>
      <c r="AL43" s="17">
        <f>IF(AN43=21,K43,0)</f>
        <v>0</v>
      </c>
      <c r="AN43" s="35">
        <v>21</v>
      </c>
      <c r="AO43" s="35">
        <f>H43*0.00329550061829252</f>
        <v>0</v>
      </c>
      <c r="AP43" s="35">
        <f>H43*(1-0.00329550061829252)</f>
        <v>0</v>
      </c>
      <c r="AQ43" s="30" t="s">
        <v>13</v>
      </c>
      <c r="AV43" s="35">
        <f>AW43+AX43</f>
        <v>0</v>
      </c>
      <c r="AW43" s="35">
        <f>G43*AO43</f>
        <v>0</v>
      </c>
      <c r="AX43" s="35">
        <f>G43*AP43</f>
        <v>0</v>
      </c>
      <c r="AY43" s="36" t="s">
        <v>423</v>
      </c>
      <c r="AZ43" s="36" t="s">
        <v>439</v>
      </c>
      <c r="BA43" s="29" t="s">
        <v>449</v>
      </c>
      <c r="BC43" s="35">
        <f>AW43+AX43</f>
        <v>0</v>
      </c>
      <c r="BD43" s="35">
        <f>H43/(100-BE43)*100</f>
        <v>0</v>
      </c>
      <c r="BE43" s="35">
        <v>0</v>
      </c>
      <c r="BF43" s="35">
        <f>43</f>
        <v>43</v>
      </c>
      <c r="BH43" s="17">
        <f>G43*AO43</f>
        <v>0</v>
      </c>
      <c r="BI43" s="17">
        <f>G43*AP43</f>
        <v>0</v>
      </c>
      <c r="BJ43" s="17">
        <f>G43*H43</f>
        <v>0</v>
      </c>
    </row>
    <row r="44" spans="3:7" ht="12.75">
      <c r="C44" s="67" t="s">
        <v>175</v>
      </c>
      <c r="D44" s="68"/>
      <c r="E44" s="68"/>
      <c r="G44" s="18">
        <v>18.7222</v>
      </c>
    </row>
    <row r="45" spans="3:7" ht="12.75">
      <c r="C45" s="67" t="s">
        <v>176</v>
      </c>
      <c r="D45" s="68"/>
      <c r="E45" s="68"/>
      <c r="G45" s="18">
        <v>66.456</v>
      </c>
    </row>
    <row r="46" spans="3:7" ht="12.75">
      <c r="C46" s="67" t="s">
        <v>177</v>
      </c>
      <c r="D46" s="68"/>
      <c r="E46" s="68"/>
      <c r="G46" s="18">
        <v>-11.4465</v>
      </c>
    </row>
    <row r="47" spans="1:62" ht="12.75">
      <c r="A47" s="5" t="s">
        <v>20</v>
      </c>
      <c r="B47" s="5" t="s">
        <v>89</v>
      </c>
      <c r="C47" s="69" t="s">
        <v>178</v>
      </c>
      <c r="D47" s="70"/>
      <c r="E47" s="70"/>
      <c r="F47" s="5" t="s">
        <v>384</v>
      </c>
      <c r="G47" s="17">
        <f>'Stavební rozpočet'!G47</f>
        <v>73.731</v>
      </c>
      <c r="H47" s="17">
        <f>'Stavební rozpočet'!H47</f>
        <v>0</v>
      </c>
      <c r="I47" s="17">
        <f>G47*AO47</f>
        <v>0</v>
      </c>
      <c r="J47" s="17">
        <f>G47*AP47</f>
        <v>0</v>
      </c>
      <c r="K47" s="17">
        <f>G47*H47</f>
        <v>0</v>
      </c>
      <c r="L47" s="30" t="s">
        <v>407</v>
      </c>
      <c r="Z47" s="35">
        <f>IF(AQ47="5",BJ47,0)</f>
        <v>0</v>
      </c>
      <c r="AB47" s="35">
        <f>IF(AQ47="1",BH47,0)</f>
        <v>0</v>
      </c>
      <c r="AC47" s="35">
        <f>IF(AQ47="1",BI47,0)</f>
        <v>0</v>
      </c>
      <c r="AD47" s="35">
        <f>IF(AQ47="7",BH47,0)</f>
        <v>0</v>
      </c>
      <c r="AE47" s="35">
        <f>IF(AQ47="7",BI47,0)</f>
        <v>0</v>
      </c>
      <c r="AF47" s="35">
        <f>IF(AQ47="2",BH47,0)</f>
        <v>0</v>
      </c>
      <c r="AG47" s="35">
        <f>IF(AQ47="2",BI47,0)</f>
        <v>0</v>
      </c>
      <c r="AH47" s="35">
        <f>IF(AQ47="0",BJ47,0)</f>
        <v>0</v>
      </c>
      <c r="AI47" s="29" t="s">
        <v>417</v>
      </c>
      <c r="AJ47" s="17">
        <f>IF(AN47=0,K47,0)</f>
        <v>0</v>
      </c>
      <c r="AK47" s="17">
        <f>IF(AN47=15,K47,0)</f>
        <v>0</v>
      </c>
      <c r="AL47" s="17">
        <f>IF(AN47=21,K47,0)</f>
        <v>0</v>
      </c>
      <c r="AN47" s="35">
        <v>21</v>
      </c>
      <c r="AO47" s="35">
        <f>H47*0.300552733921306</f>
        <v>0</v>
      </c>
      <c r="AP47" s="35">
        <f>H47*(1-0.300552733921306)</f>
        <v>0</v>
      </c>
      <c r="AQ47" s="30" t="s">
        <v>13</v>
      </c>
      <c r="AV47" s="35">
        <f>AW47+AX47</f>
        <v>0</v>
      </c>
      <c r="AW47" s="35">
        <f>G47*AO47</f>
        <v>0</v>
      </c>
      <c r="AX47" s="35">
        <f>G47*AP47</f>
        <v>0</v>
      </c>
      <c r="AY47" s="36" t="s">
        <v>423</v>
      </c>
      <c r="AZ47" s="36" t="s">
        <v>439</v>
      </c>
      <c r="BA47" s="29" t="s">
        <v>449</v>
      </c>
      <c r="BC47" s="35">
        <f>AW47+AX47</f>
        <v>0</v>
      </c>
      <c r="BD47" s="35">
        <f>H47/(100-BE47)*100</f>
        <v>0</v>
      </c>
      <c r="BE47" s="35">
        <v>0</v>
      </c>
      <c r="BF47" s="35">
        <f>47</f>
        <v>47</v>
      </c>
      <c r="BH47" s="17">
        <f>G47*AO47</f>
        <v>0</v>
      </c>
      <c r="BI47" s="17">
        <f>G47*AP47</f>
        <v>0</v>
      </c>
      <c r="BJ47" s="17">
        <f>G47*H47</f>
        <v>0</v>
      </c>
    </row>
    <row r="48" spans="3:7" ht="12.75">
      <c r="C48" s="67" t="s">
        <v>179</v>
      </c>
      <c r="D48" s="68"/>
      <c r="E48" s="68"/>
      <c r="G48" s="18">
        <v>73.731</v>
      </c>
    </row>
    <row r="49" spans="1:62" ht="12.75">
      <c r="A49" s="5" t="s">
        <v>21</v>
      </c>
      <c r="B49" s="5" t="s">
        <v>90</v>
      </c>
      <c r="C49" s="69" t="s">
        <v>180</v>
      </c>
      <c r="D49" s="70"/>
      <c r="E49" s="70"/>
      <c r="F49" s="5" t="s">
        <v>384</v>
      </c>
      <c r="G49" s="17">
        <f>'Stavební rozpočet'!G49</f>
        <v>73.731</v>
      </c>
      <c r="H49" s="17">
        <f>'Stavební rozpočet'!H49</f>
        <v>0</v>
      </c>
      <c r="I49" s="17">
        <f>G49*AO49</f>
        <v>0</v>
      </c>
      <c r="J49" s="17">
        <f>G49*AP49</f>
        <v>0</v>
      </c>
      <c r="K49" s="17">
        <f>G49*H49</f>
        <v>0</v>
      </c>
      <c r="L49" s="30" t="s">
        <v>407</v>
      </c>
      <c r="Z49" s="35">
        <f>IF(AQ49="5",BJ49,0)</f>
        <v>0</v>
      </c>
      <c r="AB49" s="35">
        <f>IF(AQ49="1",BH49,0)</f>
        <v>0</v>
      </c>
      <c r="AC49" s="35">
        <f>IF(AQ49="1",BI49,0)</f>
        <v>0</v>
      </c>
      <c r="AD49" s="35">
        <f>IF(AQ49="7",BH49,0)</f>
        <v>0</v>
      </c>
      <c r="AE49" s="35">
        <f>IF(AQ49="7",BI49,0)</f>
        <v>0</v>
      </c>
      <c r="AF49" s="35">
        <f>IF(AQ49="2",BH49,0)</f>
        <v>0</v>
      </c>
      <c r="AG49" s="35">
        <f>IF(AQ49="2",BI49,0)</f>
        <v>0</v>
      </c>
      <c r="AH49" s="35">
        <f>IF(AQ49="0",BJ49,0)</f>
        <v>0</v>
      </c>
      <c r="AI49" s="29" t="s">
        <v>417</v>
      </c>
      <c r="AJ49" s="17">
        <f>IF(AN49=0,K49,0)</f>
        <v>0</v>
      </c>
      <c r="AK49" s="17">
        <f>IF(AN49=15,K49,0)</f>
        <v>0</v>
      </c>
      <c r="AL49" s="17">
        <f>IF(AN49=21,K49,0)</f>
        <v>0</v>
      </c>
      <c r="AN49" s="35">
        <v>21</v>
      </c>
      <c r="AO49" s="35">
        <f>H49*0.133701771607869</f>
        <v>0</v>
      </c>
      <c r="AP49" s="35">
        <f>H49*(1-0.133701771607869)</f>
        <v>0</v>
      </c>
      <c r="AQ49" s="30" t="s">
        <v>13</v>
      </c>
      <c r="AV49" s="35">
        <f>AW49+AX49</f>
        <v>0</v>
      </c>
      <c r="AW49" s="35">
        <f>G49*AO49</f>
        <v>0</v>
      </c>
      <c r="AX49" s="35">
        <f>G49*AP49</f>
        <v>0</v>
      </c>
      <c r="AY49" s="36" t="s">
        <v>423</v>
      </c>
      <c r="AZ49" s="36" t="s">
        <v>439</v>
      </c>
      <c r="BA49" s="29" t="s">
        <v>449</v>
      </c>
      <c r="BC49" s="35">
        <f>AW49+AX49</f>
        <v>0</v>
      </c>
      <c r="BD49" s="35">
        <f>H49/(100-BE49)*100</f>
        <v>0</v>
      </c>
      <c r="BE49" s="35">
        <v>0</v>
      </c>
      <c r="BF49" s="35">
        <f>49</f>
        <v>49</v>
      </c>
      <c r="BH49" s="17">
        <f>G49*AO49</f>
        <v>0</v>
      </c>
      <c r="BI49" s="17">
        <f>G49*AP49</f>
        <v>0</v>
      </c>
      <c r="BJ49" s="17">
        <f>G49*H49</f>
        <v>0</v>
      </c>
    </row>
    <row r="50" spans="3:7" ht="12.75">
      <c r="C50" s="67" t="s">
        <v>179</v>
      </c>
      <c r="D50" s="68"/>
      <c r="E50" s="68"/>
      <c r="G50" s="18">
        <v>73.731</v>
      </c>
    </row>
    <row r="51" spans="1:47" ht="12.75">
      <c r="A51" s="4"/>
      <c r="B51" s="14" t="s">
        <v>15</v>
      </c>
      <c r="C51" s="75" t="s">
        <v>464</v>
      </c>
      <c r="D51" s="76"/>
      <c r="E51" s="76"/>
      <c r="F51" s="4" t="s">
        <v>6</v>
      </c>
      <c r="G51" s="4" t="s">
        <v>6</v>
      </c>
      <c r="H51" s="4" t="s">
        <v>6</v>
      </c>
      <c r="I51" s="38">
        <f>SUM(I52:I76)</f>
        <v>0</v>
      </c>
      <c r="J51" s="38">
        <f>SUM(J52:J76)</f>
        <v>0</v>
      </c>
      <c r="K51" s="38">
        <f>SUM(K52:K76)</f>
        <v>0</v>
      </c>
      <c r="L51" s="29"/>
      <c r="AI51" s="29" t="s">
        <v>417</v>
      </c>
      <c r="AS51" s="38">
        <f>SUM(AJ52:AJ76)</f>
        <v>0</v>
      </c>
      <c r="AT51" s="38">
        <f>SUM(AK52:AK76)</f>
        <v>0</v>
      </c>
      <c r="AU51" s="38">
        <f>SUM(AL52:AL76)</f>
        <v>0</v>
      </c>
    </row>
    <row r="52" spans="1:62" ht="12.75">
      <c r="A52" s="5" t="s">
        <v>22</v>
      </c>
      <c r="B52" s="5" t="s">
        <v>92</v>
      </c>
      <c r="C52" s="69" t="s">
        <v>182</v>
      </c>
      <c r="D52" s="70"/>
      <c r="E52" s="70"/>
      <c r="F52" s="5" t="s">
        <v>384</v>
      </c>
      <c r="G52" s="17">
        <f>'Stavební rozpočet'!G52</f>
        <v>14</v>
      </c>
      <c r="H52" s="17">
        <f>'Stavební rozpočet'!H52</f>
        <v>0</v>
      </c>
      <c r="I52" s="17">
        <f>G52*AO52</f>
        <v>0</v>
      </c>
      <c r="J52" s="17">
        <f>G52*AP52</f>
        <v>0</v>
      </c>
      <c r="K52" s="17">
        <f>G52*H52</f>
        <v>0</v>
      </c>
      <c r="L52" s="30" t="s">
        <v>407</v>
      </c>
      <c r="Z52" s="35">
        <f>IF(AQ52="5",BJ52,0)</f>
        <v>0</v>
      </c>
      <c r="AB52" s="35">
        <f>IF(AQ52="1",BH52,0)</f>
        <v>0</v>
      </c>
      <c r="AC52" s="35">
        <f>IF(AQ52="1",BI52,0)</f>
        <v>0</v>
      </c>
      <c r="AD52" s="35">
        <f>IF(AQ52="7",BH52,0)</f>
        <v>0</v>
      </c>
      <c r="AE52" s="35">
        <f>IF(AQ52="7",BI52,0)</f>
        <v>0</v>
      </c>
      <c r="AF52" s="35">
        <f>IF(AQ52="2",BH52,0)</f>
        <v>0</v>
      </c>
      <c r="AG52" s="35">
        <f>IF(AQ52="2",BI52,0)</f>
        <v>0</v>
      </c>
      <c r="AH52" s="35">
        <f>IF(AQ52="0",BJ52,0)</f>
        <v>0</v>
      </c>
      <c r="AI52" s="29" t="s">
        <v>417</v>
      </c>
      <c r="AJ52" s="17">
        <f>IF(AN52=0,K52,0)</f>
        <v>0</v>
      </c>
      <c r="AK52" s="17">
        <f>IF(AN52=15,K52,0)</f>
        <v>0</v>
      </c>
      <c r="AL52" s="17">
        <f>IF(AN52=21,K52,0)</f>
        <v>0</v>
      </c>
      <c r="AN52" s="35">
        <v>21</v>
      </c>
      <c r="AO52" s="35">
        <f>H52*0.377163745833781</f>
        <v>0</v>
      </c>
      <c r="AP52" s="35">
        <f>H52*(1-0.377163745833781)</f>
        <v>0</v>
      </c>
      <c r="AQ52" s="30" t="s">
        <v>7</v>
      </c>
      <c r="AV52" s="35">
        <f>AW52+AX52</f>
        <v>0</v>
      </c>
      <c r="AW52" s="35">
        <f>G52*AO52</f>
        <v>0</v>
      </c>
      <c r="AX52" s="35">
        <f>G52*AP52</f>
        <v>0</v>
      </c>
      <c r="AY52" s="36" t="s">
        <v>424</v>
      </c>
      <c r="AZ52" s="36" t="s">
        <v>440</v>
      </c>
      <c r="BA52" s="29" t="s">
        <v>449</v>
      </c>
      <c r="BC52" s="35">
        <f>AW52+AX52</f>
        <v>0</v>
      </c>
      <c r="BD52" s="35">
        <f>H52/(100-BE52)*100</f>
        <v>0</v>
      </c>
      <c r="BE52" s="35">
        <v>0</v>
      </c>
      <c r="BF52" s="35">
        <f>52</f>
        <v>52</v>
      </c>
      <c r="BH52" s="17">
        <f>G52*AO52</f>
        <v>0</v>
      </c>
      <c r="BI52" s="17">
        <f>G52*AP52</f>
        <v>0</v>
      </c>
      <c r="BJ52" s="17">
        <f>G52*H52</f>
        <v>0</v>
      </c>
    </row>
    <row r="53" spans="3:7" ht="12.75">
      <c r="C53" s="67" t="s">
        <v>183</v>
      </c>
      <c r="D53" s="68"/>
      <c r="E53" s="68"/>
      <c r="G53" s="18">
        <v>14</v>
      </c>
    </row>
    <row r="54" spans="1:62" ht="12.75">
      <c r="A54" s="5" t="s">
        <v>23</v>
      </c>
      <c r="B54" s="5" t="s">
        <v>94</v>
      </c>
      <c r="C54" s="69" t="s">
        <v>185</v>
      </c>
      <c r="D54" s="70"/>
      <c r="E54" s="70"/>
      <c r="F54" s="5" t="s">
        <v>384</v>
      </c>
      <c r="G54" s="17">
        <f>'Stavební rozpočet'!G55</f>
        <v>19.02</v>
      </c>
      <c r="H54" s="17">
        <f>'Stavební rozpočet'!H55</f>
        <v>0</v>
      </c>
      <c r="I54" s="17">
        <f>G54*AO54</f>
        <v>0</v>
      </c>
      <c r="J54" s="17">
        <f>G54*AP54</f>
        <v>0</v>
      </c>
      <c r="K54" s="17">
        <f>G54*H54</f>
        <v>0</v>
      </c>
      <c r="L54" s="30" t="s">
        <v>407</v>
      </c>
      <c r="Z54" s="35">
        <f>IF(AQ54="5",BJ54,0)</f>
        <v>0</v>
      </c>
      <c r="AB54" s="35">
        <f>IF(AQ54="1",BH54,0)</f>
        <v>0</v>
      </c>
      <c r="AC54" s="35">
        <f>IF(AQ54="1",BI54,0)</f>
        <v>0</v>
      </c>
      <c r="AD54" s="35">
        <f>IF(AQ54="7",BH54,0)</f>
        <v>0</v>
      </c>
      <c r="AE54" s="35">
        <f>IF(AQ54="7",BI54,0)</f>
        <v>0</v>
      </c>
      <c r="AF54" s="35">
        <f>IF(AQ54="2",BH54,0)</f>
        <v>0</v>
      </c>
      <c r="AG54" s="35">
        <f>IF(AQ54="2",BI54,0)</f>
        <v>0</v>
      </c>
      <c r="AH54" s="35">
        <f>IF(AQ54="0",BJ54,0)</f>
        <v>0</v>
      </c>
      <c r="AI54" s="29" t="s">
        <v>417</v>
      </c>
      <c r="AJ54" s="17">
        <f>IF(AN54=0,K54,0)</f>
        <v>0</v>
      </c>
      <c r="AK54" s="17">
        <f>IF(AN54=15,K54,0)</f>
        <v>0</v>
      </c>
      <c r="AL54" s="17">
        <f>IF(AN54=21,K54,0)</f>
        <v>0</v>
      </c>
      <c r="AN54" s="35">
        <v>21</v>
      </c>
      <c r="AO54" s="35">
        <f>H54*0.0149469143095608</f>
        <v>0</v>
      </c>
      <c r="AP54" s="35">
        <f>H54*(1-0.0149469143095608)</f>
        <v>0</v>
      </c>
      <c r="AQ54" s="30" t="s">
        <v>7</v>
      </c>
      <c r="AV54" s="35">
        <f>AW54+AX54</f>
        <v>0</v>
      </c>
      <c r="AW54" s="35">
        <f>G54*AO54</f>
        <v>0</v>
      </c>
      <c r="AX54" s="35">
        <f>G54*AP54</f>
        <v>0</v>
      </c>
      <c r="AY54" s="36" t="s">
        <v>425</v>
      </c>
      <c r="AZ54" s="36" t="s">
        <v>440</v>
      </c>
      <c r="BA54" s="29" t="s">
        <v>449</v>
      </c>
      <c r="BC54" s="35">
        <f>AW54+AX54</f>
        <v>0</v>
      </c>
      <c r="BD54" s="35">
        <f>H54/(100-BE54)*100</f>
        <v>0</v>
      </c>
      <c r="BE54" s="35">
        <v>0</v>
      </c>
      <c r="BF54" s="35">
        <f>54</f>
        <v>54</v>
      </c>
      <c r="BH54" s="17">
        <f>G54*AO54</f>
        <v>0</v>
      </c>
      <c r="BI54" s="17">
        <f>G54*AP54</f>
        <v>0</v>
      </c>
      <c r="BJ54" s="17">
        <f>G54*H54</f>
        <v>0</v>
      </c>
    </row>
    <row r="55" spans="3:7" ht="12.75">
      <c r="C55" s="67" t="s">
        <v>186</v>
      </c>
      <c r="D55" s="68"/>
      <c r="E55" s="68"/>
      <c r="G55" s="18">
        <v>19.02</v>
      </c>
    </row>
    <row r="56" spans="1:62" ht="12.75">
      <c r="A56" s="5" t="s">
        <v>24</v>
      </c>
      <c r="B56" s="5" t="s">
        <v>96</v>
      </c>
      <c r="C56" s="69" t="s">
        <v>188</v>
      </c>
      <c r="D56" s="70"/>
      <c r="E56" s="70"/>
      <c r="F56" s="5" t="s">
        <v>384</v>
      </c>
      <c r="G56" s="17">
        <f>'Stavební rozpočet'!G58</f>
        <v>6.4945</v>
      </c>
      <c r="H56" s="17">
        <f>'Stavební rozpočet'!H58</f>
        <v>0</v>
      </c>
      <c r="I56" s="17">
        <f>G56*AO56</f>
        <v>0</v>
      </c>
      <c r="J56" s="17">
        <f>G56*AP56</f>
        <v>0</v>
      </c>
      <c r="K56" s="17">
        <f>G56*H56</f>
        <v>0</v>
      </c>
      <c r="L56" s="30" t="s">
        <v>407</v>
      </c>
      <c r="Z56" s="35">
        <f>IF(AQ56="5",BJ56,0)</f>
        <v>0</v>
      </c>
      <c r="AB56" s="35">
        <f>IF(AQ56="1",BH56,0)</f>
        <v>0</v>
      </c>
      <c r="AC56" s="35">
        <f>IF(AQ56="1",BI56,0)</f>
        <v>0</v>
      </c>
      <c r="AD56" s="35">
        <f>IF(AQ56="7",BH56,0)</f>
        <v>0</v>
      </c>
      <c r="AE56" s="35">
        <f>IF(AQ56="7",BI56,0)</f>
        <v>0</v>
      </c>
      <c r="AF56" s="35">
        <f>IF(AQ56="2",BH56,0)</f>
        <v>0</v>
      </c>
      <c r="AG56" s="35">
        <f>IF(AQ56="2",BI56,0)</f>
        <v>0</v>
      </c>
      <c r="AH56" s="35">
        <f>IF(AQ56="0",BJ56,0)</f>
        <v>0</v>
      </c>
      <c r="AI56" s="29" t="s">
        <v>417</v>
      </c>
      <c r="AJ56" s="17">
        <f>IF(AN56=0,K56,0)</f>
        <v>0</v>
      </c>
      <c r="AK56" s="17">
        <f>IF(AN56=15,K56,0)</f>
        <v>0</v>
      </c>
      <c r="AL56" s="17">
        <f>IF(AN56=21,K56,0)</f>
        <v>0</v>
      </c>
      <c r="AN56" s="35">
        <v>21</v>
      </c>
      <c r="AO56" s="35">
        <f>H56*0.130102009995288</f>
        <v>0</v>
      </c>
      <c r="AP56" s="35">
        <f>H56*(1-0.130102009995288)</f>
        <v>0</v>
      </c>
      <c r="AQ56" s="30" t="s">
        <v>7</v>
      </c>
      <c r="AV56" s="35">
        <f>AW56+AX56</f>
        <v>0</v>
      </c>
      <c r="AW56" s="35">
        <f>G56*AO56</f>
        <v>0</v>
      </c>
      <c r="AX56" s="35">
        <f>G56*AP56</f>
        <v>0</v>
      </c>
      <c r="AY56" s="36" t="s">
        <v>426</v>
      </c>
      <c r="AZ56" s="36" t="s">
        <v>440</v>
      </c>
      <c r="BA56" s="29" t="s">
        <v>449</v>
      </c>
      <c r="BC56" s="35">
        <f>AW56+AX56</f>
        <v>0</v>
      </c>
      <c r="BD56" s="35">
        <f>H56/(100-BE56)*100</f>
        <v>0</v>
      </c>
      <c r="BE56" s="35">
        <v>0</v>
      </c>
      <c r="BF56" s="35">
        <f>56</f>
        <v>56</v>
      </c>
      <c r="BH56" s="17">
        <f>G56*AO56</f>
        <v>0</v>
      </c>
      <c r="BI56" s="17">
        <f>G56*AP56</f>
        <v>0</v>
      </c>
      <c r="BJ56" s="17">
        <f>G56*H56</f>
        <v>0</v>
      </c>
    </row>
    <row r="57" spans="3:7" ht="12.75">
      <c r="C57" s="67" t="s">
        <v>189</v>
      </c>
      <c r="D57" s="68"/>
      <c r="E57" s="68"/>
      <c r="G57" s="18">
        <v>6.4945</v>
      </c>
    </row>
    <row r="58" spans="1:62" ht="12.75">
      <c r="A58" s="5" t="s">
        <v>25</v>
      </c>
      <c r="B58" s="5" t="s">
        <v>97</v>
      </c>
      <c r="C58" s="69" t="s">
        <v>190</v>
      </c>
      <c r="D58" s="70"/>
      <c r="E58" s="70"/>
      <c r="F58" s="5" t="s">
        <v>385</v>
      </c>
      <c r="G58" s="17">
        <f>'Stavební rozpočet'!G60</f>
        <v>0.99</v>
      </c>
      <c r="H58" s="17">
        <f>'Stavební rozpočet'!H60</f>
        <v>0</v>
      </c>
      <c r="I58" s="17">
        <f>G58*AO58</f>
        <v>0</v>
      </c>
      <c r="J58" s="17">
        <f>G58*AP58</f>
        <v>0</v>
      </c>
      <c r="K58" s="17">
        <f>G58*H58</f>
        <v>0</v>
      </c>
      <c r="L58" s="30" t="s">
        <v>407</v>
      </c>
      <c r="Z58" s="35">
        <f>IF(AQ58="5",BJ58,0)</f>
        <v>0</v>
      </c>
      <c r="AB58" s="35">
        <f>IF(AQ58="1",BH58,0)</f>
        <v>0</v>
      </c>
      <c r="AC58" s="35">
        <f>IF(AQ58="1",BI58,0)</f>
        <v>0</v>
      </c>
      <c r="AD58" s="35">
        <f>IF(AQ58="7",BH58,0)</f>
        <v>0</v>
      </c>
      <c r="AE58" s="35">
        <f>IF(AQ58="7",BI58,0)</f>
        <v>0</v>
      </c>
      <c r="AF58" s="35">
        <f>IF(AQ58="2",BH58,0)</f>
        <v>0</v>
      </c>
      <c r="AG58" s="35">
        <f>IF(AQ58="2",BI58,0)</f>
        <v>0</v>
      </c>
      <c r="AH58" s="35">
        <f>IF(AQ58="0",BJ58,0)</f>
        <v>0</v>
      </c>
      <c r="AI58" s="29" t="s">
        <v>417</v>
      </c>
      <c r="AJ58" s="17">
        <f>IF(AN58=0,K58,0)</f>
        <v>0</v>
      </c>
      <c r="AK58" s="17">
        <f>IF(AN58=15,K58,0)</f>
        <v>0</v>
      </c>
      <c r="AL58" s="17">
        <f>IF(AN58=21,K58,0)</f>
        <v>0</v>
      </c>
      <c r="AN58" s="35">
        <v>21</v>
      </c>
      <c r="AO58" s="35">
        <f>H58*0.0404926764314248</f>
        <v>0</v>
      </c>
      <c r="AP58" s="35">
        <f>H58*(1-0.0404926764314248)</f>
        <v>0</v>
      </c>
      <c r="AQ58" s="30" t="s">
        <v>7</v>
      </c>
      <c r="AV58" s="35">
        <f>AW58+AX58</f>
        <v>0</v>
      </c>
      <c r="AW58" s="35">
        <f>G58*AO58</f>
        <v>0</v>
      </c>
      <c r="AX58" s="35">
        <f>G58*AP58</f>
        <v>0</v>
      </c>
      <c r="AY58" s="36" t="s">
        <v>426</v>
      </c>
      <c r="AZ58" s="36" t="s">
        <v>440</v>
      </c>
      <c r="BA58" s="29" t="s">
        <v>449</v>
      </c>
      <c r="BC58" s="35">
        <f>AW58+AX58</f>
        <v>0</v>
      </c>
      <c r="BD58" s="35">
        <f>H58/(100-BE58)*100</f>
        <v>0</v>
      </c>
      <c r="BE58" s="35">
        <v>0</v>
      </c>
      <c r="BF58" s="35">
        <f>58</f>
        <v>58</v>
      </c>
      <c r="BH58" s="17">
        <f>G58*AO58</f>
        <v>0</v>
      </c>
      <c r="BI58" s="17">
        <f>G58*AP58</f>
        <v>0</v>
      </c>
      <c r="BJ58" s="17">
        <f>G58*H58</f>
        <v>0</v>
      </c>
    </row>
    <row r="59" spans="3:7" ht="12.75">
      <c r="C59" s="67" t="s">
        <v>191</v>
      </c>
      <c r="D59" s="68"/>
      <c r="E59" s="68"/>
      <c r="G59" s="18">
        <v>0.99</v>
      </c>
    </row>
    <row r="60" spans="1:62" ht="12.75">
      <c r="A60" s="5" t="s">
        <v>26</v>
      </c>
      <c r="B60" s="5" t="s">
        <v>98</v>
      </c>
      <c r="C60" s="69" t="s">
        <v>192</v>
      </c>
      <c r="D60" s="70"/>
      <c r="E60" s="70"/>
      <c r="F60" s="5" t="s">
        <v>384</v>
      </c>
      <c r="G60" s="17">
        <f>'Stavební rozpočet'!G62</f>
        <v>3.8</v>
      </c>
      <c r="H60" s="17">
        <f>'Stavební rozpočet'!H62</f>
        <v>0</v>
      </c>
      <c r="I60" s="17">
        <f>G60*AO60</f>
        <v>0</v>
      </c>
      <c r="J60" s="17">
        <f>G60*AP60</f>
        <v>0</v>
      </c>
      <c r="K60" s="17">
        <f>G60*H60</f>
        <v>0</v>
      </c>
      <c r="L60" s="30" t="s">
        <v>407</v>
      </c>
      <c r="Z60" s="35">
        <f>IF(AQ60="5",BJ60,0)</f>
        <v>0</v>
      </c>
      <c r="AB60" s="35">
        <f>IF(AQ60="1",BH60,0)</f>
        <v>0</v>
      </c>
      <c r="AC60" s="35">
        <f>IF(AQ60="1",BI60,0)</f>
        <v>0</v>
      </c>
      <c r="AD60" s="35">
        <f>IF(AQ60="7",BH60,0)</f>
        <v>0</v>
      </c>
      <c r="AE60" s="35">
        <f>IF(AQ60="7",BI60,0)</f>
        <v>0</v>
      </c>
      <c r="AF60" s="35">
        <f>IF(AQ60="2",BH60,0)</f>
        <v>0</v>
      </c>
      <c r="AG60" s="35">
        <f>IF(AQ60="2",BI60,0)</f>
        <v>0</v>
      </c>
      <c r="AH60" s="35">
        <f>IF(AQ60="0",BJ60,0)</f>
        <v>0</v>
      </c>
      <c r="AI60" s="29" t="s">
        <v>417</v>
      </c>
      <c r="AJ60" s="17">
        <f>IF(AN60=0,K60,0)</f>
        <v>0</v>
      </c>
      <c r="AK60" s="17">
        <f>IF(AN60=15,K60,0)</f>
        <v>0</v>
      </c>
      <c r="AL60" s="17">
        <f>IF(AN60=21,K60,0)</f>
        <v>0</v>
      </c>
      <c r="AN60" s="35">
        <v>21</v>
      </c>
      <c r="AO60" s="35">
        <f>H60*0</f>
        <v>0</v>
      </c>
      <c r="AP60" s="35">
        <f>H60*(1-0)</f>
        <v>0</v>
      </c>
      <c r="AQ60" s="30" t="s">
        <v>7</v>
      </c>
      <c r="AV60" s="35">
        <f>AW60+AX60</f>
        <v>0</v>
      </c>
      <c r="AW60" s="35">
        <f>G60*AO60</f>
        <v>0</v>
      </c>
      <c r="AX60" s="35">
        <f>G60*AP60</f>
        <v>0</v>
      </c>
      <c r="AY60" s="36" t="s">
        <v>426</v>
      </c>
      <c r="AZ60" s="36" t="s">
        <v>440</v>
      </c>
      <c r="BA60" s="29" t="s">
        <v>449</v>
      </c>
      <c r="BC60" s="35">
        <f>AW60+AX60</f>
        <v>0</v>
      </c>
      <c r="BD60" s="35">
        <f>H60/(100-BE60)*100</f>
        <v>0</v>
      </c>
      <c r="BE60" s="35">
        <v>0</v>
      </c>
      <c r="BF60" s="35">
        <f>60</f>
        <v>60</v>
      </c>
      <c r="BH60" s="17">
        <f>G60*AO60</f>
        <v>0</v>
      </c>
      <c r="BI60" s="17">
        <f>G60*AP60</f>
        <v>0</v>
      </c>
      <c r="BJ60" s="17">
        <f>G60*H60</f>
        <v>0</v>
      </c>
    </row>
    <row r="61" spans="3:7" ht="12.75">
      <c r="C61" s="67" t="s">
        <v>193</v>
      </c>
      <c r="D61" s="68"/>
      <c r="E61" s="68"/>
      <c r="G61" s="18">
        <v>3.8</v>
      </c>
    </row>
    <row r="62" spans="1:62" ht="12.75">
      <c r="A62" s="5" t="s">
        <v>27</v>
      </c>
      <c r="B62" s="5" t="s">
        <v>99</v>
      </c>
      <c r="C62" s="69" t="s">
        <v>194</v>
      </c>
      <c r="D62" s="70"/>
      <c r="E62" s="70"/>
      <c r="F62" s="5" t="s">
        <v>384</v>
      </c>
      <c r="G62" s="17">
        <f>'Stavební rozpočet'!G64</f>
        <v>2.1</v>
      </c>
      <c r="H62" s="17">
        <f>'Stavební rozpočet'!H64</f>
        <v>0</v>
      </c>
      <c r="I62" s="17">
        <f>G62*AO62</f>
        <v>0</v>
      </c>
      <c r="J62" s="17">
        <f>G62*AP62</f>
        <v>0</v>
      </c>
      <c r="K62" s="17">
        <f>G62*H62</f>
        <v>0</v>
      </c>
      <c r="L62" s="30" t="s">
        <v>407</v>
      </c>
      <c r="Z62" s="35">
        <f>IF(AQ62="5",BJ62,0)</f>
        <v>0</v>
      </c>
      <c r="AB62" s="35">
        <f>IF(AQ62="1",BH62,0)</f>
        <v>0</v>
      </c>
      <c r="AC62" s="35">
        <f>IF(AQ62="1",BI62,0)</f>
        <v>0</v>
      </c>
      <c r="AD62" s="35">
        <f>IF(AQ62="7",BH62,0)</f>
        <v>0</v>
      </c>
      <c r="AE62" s="35">
        <f>IF(AQ62="7",BI62,0)</f>
        <v>0</v>
      </c>
      <c r="AF62" s="35">
        <f>IF(AQ62="2",BH62,0)</f>
        <v>0</v>
      </c>
      <c r="AG62" s="35">
        <f>IF(AQ62="2",BI62,0)</f>
        <v>0</v>
      </c>
      <c r="AH62" s="35">
        <f>IF(AQ62="0",BJ62,0)</f>
        <v>0</v>
      </c>
      <c r="AI62" s="29" t="s">
        <v>417</v>
      </c>
      <c r="AJ62" s="17">
        <f>IF(AN62=0,K62,0)</f>
        <v>0</v>
      </c>
      <c r="AK62" s="17">
        <f>IF(AN62=15,K62,0)</f>
        <v>0</v>
      </c>
      <c r="AL62" s="17">
        <f>IF(AN62=21,K62,0)</f>
        <v>0</v>
      </c>
      <c r="AN62" s="35">
        <v>21</v>
      </c>
      <c r="AO62" s="35">
        <f>H62*0.122316602316602</f>
        <v>0</v>
      </c>
      <c r="AP62" s="35">
        <f>H62*(1-0.122316602316602)</f>
        <v>0</v>
      </c>
      <c r="AQ62" s="30" t="s">
        <v>7</v>
      </c>
      <c r="AV62" s="35">
        <f>AW62+AX62</f>
        <v>0</v>
      </c>
      <c r="AW62" s="35">
        <f>G62*AO62</f>
        <v>0</v>
      </c>
      <c r="AX62" s="35">
        <f>G62*AP62</f>
        <v>0</v>
      </c>
      <c r="AY62" s="36" t="s">
        <v>426</v>
      </c>
      <c r="AZ62" s="36" t="s">
        <v>440</v>
      </c>
      <c r="BA62" s="29" t="s">
        <v>449</v>
      </c>
      <c r="BC62" s="35">
        <f>AW62+AX62</f>
        <v>0</v>
      </c>
      <c r="BD62" s="35">
        <f>H62/(100-BE62)*100</f>
        <v>0</v>
      </c>
      <c r="BE62" s="35">
        <v>0</v>
      </c>
      <c r="BF62" s="35">
        <f>62</f>
        <v>62</v>
      </c>
      <c r="BH62" s="17">
        <f>G62*AO62</f>
        <v>0</v>
      </c>
      <c r="BI62" s="17">
        <f>G62*AP62</f>
        <v>0</v>
      </c>
      <c r="BJ62" s="17">
        <f>G62*H62</f>
        <v>0</v>
      </c>
    </row>
    <row r="63" spans="3:7" ht="12.75">
      <c r="C63" s="67" t="s">
        <v>195</v>
      </c>
      <c r="D63" s="68"/>
      <c r="E63" s="68"/>
      <c r="G63" s="18">
        <v>2.1</v>
      </c>
    </row>
    <row r="64" spans="1:62" ht="12.75">
      <c r="A64" s="5" t="s">
        <v>28</v>
      </c>
      <c r="B64" s="5" t="s">
        <v>101</v>
      </c>
      <c r="C64" s="69" t="s">
        <v>197</v>
      </c>
      <c r="D64" s="70"/>
      <c r="E64" s="70"/>
      <c r="F64" s="5" t="s">
        <v>386</v>
      </c>
      <c r="G64" s="17">
        <f>'Stavební rozpočet'!G67</f>
        <v>15.8</v>
      </c>
      <c r="H64" s="17">
        <f>'Stavební rozpočet'!H67</f>
        <v>0</v>
      </c>
      <c r="I64" s="17">
        <f>G64*AO64</f>
        <v>0</v>
      </c>
      <c r="J64" s="17">
        <f>G64*AP64</f>
        <v>0</v>
      </c>
      <c r="K64" s="17">
        <f>G64*H64</f>
        <v>0</v>
      </c>
      <c r="L64" s="30" t="s">
        <v>407</v>
      </c>
      <c r="Z64" s="35">
        <f>IF(AQ64="5",BJ64,0)</f>
        <v>0</v>
      </c>
      <c r="AB64" s="35">
        <f>IF(AQ64="1",BH64,0)</f>
        <v>0</v>
      </c>
      <c r="AC64" s="35">
        <f>IF(AQ64="1",BI64,0)</f>
        <v>0</v>
      </c>
      <c r="AD64" s="35">
        <f>IF(AQ64="7",BH64,0)</f>
        <v>0</v>
      </c>
      <c r="AE64" s="35">
        <f>IF(AQ64="7",BI64,0)</f>
        <v>0</v>
      </c>
      <c r="AF64" s="35">
        <f>IF(AQ64="2",BH64,0)</f>
        <v>0</v>
      </c>
      <c r="AG64" s="35">
        <f>IF(AQ64="2",BI64,0)</f>
        <v>0</v>
      </c>
      <c r="AH64" s="35">
        <f>IF(AQ64="0",BJ64,0)</f>
        <v>0</v>
      </c>
      <c r="AI64" s="29" t="s">
        <v>417</v>
      </c>
      <c r="AJ64" s="17">
        <f>IF(AN64=0,K64,0)</f>
        <v>0</v>
      </c>
      <c r="AK64" s="17">
        <f>IF(AN64=15,K64,0)</f>
        <v>0</v>
      </c>
      <c r="AL64" s="17">
        <f>IF(AN64=21,K64,0)</f>
        <v>0</v>
      </c>
      <c r="AN64" s="35">
        <v>21</v>
      </c>
      <c r="AO64" s="35">
        <f>H64*0</f>
        <v>0</v>
      </c>
      <c r="AP64" s="35">
        <f>H64*(1-0)</f>
        <v>0</v>
      </c>
      <c r="AQ64" s="30" t="s">
        <v>7</v>
      </c>
      <c r="AV64" s="35">
        <f>AW64+AX64</f>
        <v>0</v>
      </c>
      <c r="AW64" s="35">
        <f>G64*AO64</f>
        <v>0</v>
      </c>
      <c r="AX64" s="35">
        <f>G64*AP64</f>
        <v>0</v>
      </c>
      <c r="AY64" s="36" t="s">
        <v>427</v>
      </c>
      <c r="AZ64" s="36" t="s">
        <v>440</v>
      </c>
      <c r="BA64" s="29" t="s">
        <v>449</v>
      </c>
      <c r="BC64" s="35">
        <f>AW64+AX64</f>
        <v>0</v>
      </c>
      <c r="BD64" s="35">
        <f>H64/(100-BE64)*100</f>
        <v>0</v>
      </c>
      <c r="BE64" s="35">
        <v>0</v>
      </c>
      <c r="BF64" s="35">
        <f>64</f>
        <v>64</v>
      </c>
      <c r="BH64" s="17">
        <f>G64*AO64</f>
        <v>0</v>
      </c>
      <c r="BI64" s="17">
        <f>G64*AP64</f>
        <v>0</v>
      </c>
      <c r="BJ64" s="17">
        <f>G64*H64</f>
        <v>0</v>
      </c>
    </row>
    <row r="65" spans="3:7" ht="12.75">
      <c r="C65" s="67" t="s">
        <v>198</v>
      </c>
      <c r="D65" s="68"/>
      <c r="E65" s="68"/>
      <c r="G65" s="18">
        <v>15.8</v>
      </c>
    </row>
    <row r="66" spans="1:62" ht="12.75">
      <c r="A66" s="5" t="s">
        <v>29</v>
      </c>
      <c r="B66" s="5" t="s">
        <v>102</v>
      </c>
      <c r="C66" s="69" t="s">
        <v>199</v>
      </c>
      <c r="D66" s="70"/>
      <c r="E66" s="70"/>
      <c r="F66" s="5" t="s">
        <v>386</v>
      </c>
      <c r="G66" s="17">
        <f>'Stavební rozpočet'!G69</f>
        <v>200</v>
      </c>
      <c r="H66" s="17">
        <f>'Stavební rozpočet'!H69</f>
        <v>0</v>
      </c>
      <c r="I66" s="17">
        <f>G66*AO66</f>
        <v>0</v>
      </c>
      <c r="J66" s="17">
        <f>G66*AP66</f>
        <v>0</v>
      </c>
      <c r="K66" s="17">
        <f>G66*H66</f>
        <v>0</v>
      </c>
      <c r="L66" s="30" t="s">
        <v>407</v>
      </c>
      <c r="Z66" s="35">
        <f>IF(AQ66="5",BJ66,0)</f>
        <v>0</v>
      </c>
      <c r="AB66" s="35">
        <f>IF(AQ66="1",BH66,0)</f>
        <v>0</v>
      </c>
      <c r="AC66" s="35">
        <f>IF(AQ66="1",BI66,0)</f>
        <v>0</v>
      </c>
      <c r="AD66" s="35">
        <f>IF(AQ66="7",BH66,0)</f>
        <v>0</v>
      </c>
      <c r="AE66" s="35">
        <f>IF(AQ66="7",BI66,0)</f>
        <v>0</v>
      </c>
      <c r="AF66" s="35">
        <f>IF(AQ66="2",BH66,0)</f>
        <v>0</v>
      </c>
      <c r="AG66" s="35">
        <f>IF(AQ66="2",BI66,0)</f>
        <v>0</v>
      </c>
      <c r="AH66" s="35">
        <f>IF(AQ66="0",BJ66,0)</f>
        <v>0</v>
      </c>
      <c r="AI66" s="29" t="s">
        <v>417</v>
      </c>
      <c r="AJ66" s="17">
        <f>IF(AN66=0,K66,0)</f>
        <v>0</v>
      </c>
      <c r="AK66" s="17">
        <f>IF(AN66=15,K66,0)</f>
        <v>0</v>
      </c>
      <c r="AL66" s="17">
        <f>IF(AN66=21,K66,0)</f>
        <v>0</v>
      </c>
      <c r="AN66" s="35">
        <v>21</v>
      </c>
      <c r="AO66" s="35">
        <f>H66*0.134328358208955</f>
        <v>0</v>
      </c>
      <c r="AP66" s="35">
        <f>H66*(1-0.134328358208955)</f>
        <v>0</v>
      </c>
      <c r="AQ66" s="30" t="s">
        <v>7</v>
      </c>
      <c r="AV66" s="35">
        <f>AW66+AX66</f>
        <v>0</v>
      </c>
      <c r="AW66" s="35">
        <f>G66*AO66</f>
        <v>0</v>
      </c>
      <c r="AX66" s="35">
        <f>G66*AP66</f>
        <v>0</v>
      </c>
      <c r="AY66" s="36" t="s">
        <v>427</v>
      </c>
      <c r="AZ66" s="36" t="s">
        <v>440</v>
      </c>
      <c r="BA66" s="29" t="s">
        <v>449</v>
      </c>
      <c r="BC66" s="35">
        <f>AW66+AX66</f>
        <v>0</v>
      </c>
      <c r="BD66" s="35">
        <f>H66/(100-BE66)*100</f>
        <v>0</v>
      </c>
      <c r="BE66" s="35">
        <v>0</v>
      </c>
      <c r="BF66" s="35">
        <f>66</f>
        <v>66</v>
      </c>
      <c r="BH66" s="17">
        <f>G66*AO66</f>
        <v>0</v>
      </c>
      <c r="BI66" s="17">
        <f>G66*AP66</f>
        <v>0</v>
      </c>
      <c r="BJ66" s="17">
        <f>G66*H66</f>
        <v>0</v>
      </c>
    </row>
    <row r="67" spans="3:7" ht="12.75">
      <c r="C67" s="67" t="s">
        <v>200</v>
      </c>
      <c r="D67" s="68"/>
      <c r="E67" s="68"/>
      <c r="G67" s="18">
        <v>200</v>
      </c>
    </row>
    <row r="68" spans="1:62" ht="12.75">
      <c r="A68" s="5" t="s">
        <v>30</v>
      </c>
      <c r="B68" s="5" t="s">
        <v>104</v>
      </c>
      <c r="C68" s="69" t="s">
        <v>202</v>
      </c>
      <c r="D68" s="70"/>
      <c r="E68" s="70"/>
      <c r="F68" s="5" t="s">
        <v>383</v>
      </c>
      <c r="G68" s="17">
        <f>'Stavební rozpočet'!G72</f>
        <v>0.154</v>
      </c>
      <c r="H68" s="17">
        <f>'Stavební rozpočet'!H72</f>
        <v>0</v>
      </c>
      <c r="I68" s="17">
        <f>G68*AO68</f>
        <v>0</v>
      </c>
      <c r="J68" s="17">
        <f>G68*AP68</f>
        <v>0</v>
      </c>
      <c r="K68" s="17">
        <f>G68*H68</f>
        <v>0</v>
      </c>
      <c r="L68" s="30" t="s">
        <v>407</v>
      </c>
      <c r="Z68" s="35">
        <f>IF(AQ68="5",BJ68,0)</f>
        <v>0</v>
      </c>
      <c r="AB68" s="35">
        <f>IF(AQ68="1",BH68,0)</f>
        <v>0</v>
      </c>
      <c r="AC68" s="35">
        <f>IF(AQ68="1",BI68,0)</f>
        <v>0</v>
      </c>
      <c r="AD68" s="35">
        <f>IF(AQ68="7",BH68,0)</f>
        <v>0</v>
      </c>
      <c r="AE68" s="35">
        <f>IF(AQ68="7",BI68,0)</f>
        <v>0</v>
      </c>
      <c r="AF68" s="35">
        <f>IF(AQ68="2",BH68,0)</f>
        <v>0</v>
      </c>
      <c r="AG68" s="35">
        <f>IF(AQ68="2",BI68,0)</f>
        <v>0</v>
      </c>
      <c r="AH68" s="35">
        <f>IF(AQ68="0",BJ68,0)</f>
        <v>0</v>
      </c>
      <c r="AI68" s="29" t="s">
        <v>417</v>
      </c>
      <c r="AJ68" s="17">
        <f>IF(AN68=0,K68,0)</f>
        <v>0</v>
      </c>
      <c r="AK68" s="17">
        <f>IF(AN68=15,K68,0)</f>
        <v>0</v>
      </c>
      <c r="AL68" s="17">
        <f>IF(AN68=21,K68,0)</f>
        <v>0</v>
      </c>
      <c r="AN68" s="35">
        <v>21</v>
      </c>
      <c r="AO68" s="35">
        <f>H68*0</f>
        <v>0</v>
      </c>
      <c r="AP68" s="35">
        <f>H68*(1-0)</f>
        <v>0</v>
      </c>
      <c r="AQ68" s="30" t="s">
        <v>11</v>
      </c>
      <c r="AV68" s="35">
        <f>AW68+AX68</f>
        <v>0</v>
      </c>
      <c r="AW68" s="35">
        <f>G68*AO68</f>
        <v>0</v>
      </c>
      <c r="AX68" s="35">
        <f>G68*AP68</f>
        <v>0</v>
      </c>
      <c r="AY68" s="36" t="s">
        <v>428</v>
      </c>
      <c r="AZ68" s="36" t="s">
        <v>440</v>
      </c>
      <c r="BA68" s="29" t="s">
        <v>449</v>
      </c>
      <c r="BC68" s="35">
        <f>AW68+AX68</f>
        <v>0</v>
      </c>
      <c r="BD68" s="35">
        <f>H68/(100-BE68)*100</f>
        <v>0</v>
      </c>
      <c r="BE68" s="35">
        <v>0</v>
      </c>
      <c r="BF68" s="35">
        <f>68</f>
        <v>68</v>
      </c>
      <c r="BH68" s="17">
        <f>G68*AO68</f>
        <v>0</v>
      </c>
      <c r="BI68" s="17">
        <f>G68*AP68</f>
        <v>0</v>
      </c>
      <c r="BJ68" s="17">
        <f>G68*H68</f>
        <v>0</v>
      </c>
    </row>
    <row r="69" spans="3:7" ht="12.75">
      <c r="C69" s="67" t="s">
        <v>203</v>
      </c>
      <c r="D69" s="68"/>
      <c r="E69" s="68"/>
      <c r="G69" s="18">
        <v>0.154</v>
      </c>
    </row>
    <row r="70" spans="1:62" ht="12.75">
      <c r="A70" s="5" t="s">
        <v>31</v>
      </c>
      <c r="B70" s="5" t="s">
        <v>106</v>
      </c>
      <c r="C70" s="69" t="s">
        <v>205</v>
      </c>
      <c r="D70" s="70"/>
      <c r="E70" s="70"/>
      <c r="F70" s="5" t="s">
        <v>383</v>
      </c>
      <c r="G70" s="17">
        <f>'Stavební rozpočet'!G75</f>
        <v>4.677</v>
      </c>
      <c r="H70" s="17">
        <f>'Stavební rozpočet'!H75</f>
        <v>0</v>
      </c>
      <c r="I70" s="17">
        <f>G70*AO70</f>
        <v>0</v>
      </c>
      <c r="J70" s="17">
        <f>G70*AP70</f>
        <v>0</v>
      </c>
      <c r="K70" s="17">
        <f>G70*H70</f>
        <v>0</v>
      </c>
      <c r="L70" s="30" t="s">
        <v>407</v>
      </c>
      <c r="Z70" s="35">
        <f>IF(AQ70="5",BJ70,0)</f>
        <v>0</v>
      </c>
      <c r="AB70" s="35">
        <f>IF(AQ70="1",BH70,0)</f>
        <v>0</v>
      </c>
      <c r="AC70" s="35">
        <f>IF(AQ70="1",BI70,0)</f>
        <v>0</v>
      </c>
      <c r="AD70" s="35">
        <f>IF(AQ70="7",BH70,0)</f>
        <v>0</v>
      </c>
      <c r="AE70" s="35">
        <f>IF(AQ70="7",BI70,0)</f>
        <v>0</v>
      </c>
      <c r="AF70" s="35">
        <f>IF(AQ70="2",BH70,0)</f>
        <v>0</v>
      </c>
      <c r="AG70" s="35">
        <f>IF(AQ70="2",BI70,0)</f>
        <v>0</v>
      </c>
      <c r="AH70" s="35">
        <f>IF(AQ70="0",BJ70,0)</f>
        <v>0</v>
      </c>
      <c r="AI70" s="29" t="s">
        <v>417</v>
      </c>
      <c r="AJ70" s="17">
        <f>IF(AN70=0,K70,0)</f>
        <v>0</v>
      </c>
      <c r="AK70" s="17">
        <f>IF(AN70=15,K70,0)</f>
        <v>0</v>
      </c>
      <c r="AL70" s="17">
        <f>IF(AN70=21,K70,0)</f>
        <v>0</v>
      </c>
      <c r="AN70" s="35">
        <v>21</v>
      </c>
      <c r="AO70" s="35">
        <f>H70*0</f>
        <v>0</v>
      </c>
      <c r="AP70" s="35">
        <f>H70*(1-0)</f>
        <v>0</v>
      </c>
      <c r="AQ70" s="30" t="s">
        <v>11</v>
      </c>
      <c r="AV70" s="35">
        <f>AW70+AX70</f>
        <v>0</v>
      </c>
      <c r="AW70" s="35">
        <f>G70*AO70</f>
        <v>0</v>
      </c>
      <c r="AX70" s="35">
        <f>G70*AP70</f>
        <v>0</v>
      </c>
      <c r="AY70" s="36" t="s">
        <v>429</v>
      </c>
      <c r="AZ70" s="36" t="s">
        <v>440</v>
      </c>
      <c r="BA70" s="29" t="s">
        <v>449</v>
      </c>
      <c r="BC70" s="35">
        <f>AW70+AX70</f>
        <v>0</v>
      </c>
      <c r="BD70" s="35">
        <f>H70/(100-BE70)*100</f>
        <v>0</v>
      </c>
      <c r="BE70" s="35">
        <v>0</v>
      </c>
      <c r="BF70" s="35">
        <f>70</f>
        <v>70</v>
      </c>
      <c r="BH70" s="17">
        <f>G70*AO70</f>
        <v>0</v>
      </c>
      <c r="BI70" s="17">
        <f>G70*AP70</f>
        <v>0</v>
      </c>
      <c r="BJ70" s="17">
        <f>G70*H70</f>
        <v>0</v>
      </c>
    </row>
    <row r="71" spans="3:7" ht="12.75">
      <c r="C71" s="67" t="s">
        <v>206</v>
      </c>
      <c r="D71" s="68"/>
      <c r="E71" s="68"/>
      <c r="G71" s="18">
        <v>4.677</v>
      </c>
    </row>
    <row r="72" spans="1:62" ht="12.75">
      <c r="A72" s="5" t="s">
        <v>32</v>
      </c>
      <c r="B72" s="5" t="s">
        <v>107</v>
      </c>
      <c r="C72" s="69" t="s">
        <v>207</v>
      </c>
      <c r="D72" s="70"/>
      <c r="E72" s="70"/>
      <c r="F72" s="5" t="s">
        <v>383</v>
      </c>
      <c r="G72" s="17">
        <f>'Stavební rozpočet'!G77</f>
        <v>4.677</v>
      </c>
      <c r="H72" s="17">
        <f>'Stavební rozpočet'!H77</f>
        <v>0</v>
      </c>
      <c r="I72" s="17">
        <f>G72*AO72</f>
        <v>0</v>
      </c>
      <c r="J72" s="17">
        <f>G72*AP72</f>
        <v>0</v>
      </c>
      <c r="K72" s="17">
        <f>G72*H72</f>
        <v>0</v>
      </c>
      <c r="L72" s="30" t="s">
        <v>407</v>
      </c>
      <c r="Z72" s="35">
        <f>IF(AQ72="5",BJ72,0)</f>
        <v>0</v>
      </c>
      <c r="AB72" s="35">
        <f>IF(AQ72="1",BH72,0)</f>
        <v>0</v>
      </c>
      <c r="AC72" s="35">
        <f>IF(AQ72="1",BI72,0)</f>
        <v>0</v>
      </c>
      <c r="AD72" s="35">
        <f>IF(AQ72="7",BH72,0)</f>
        <v>0</v>
      </c>
      <c r="AE72" s="35">
        <f>IF(AQ72="7",BI72,0)</f>
        <v>0</v>
      </c>
      <c r="AF72" s="35">
        <f>IF(AQ72="2",BH72,0)</f>
        <v>0</v>
      </c>
      <c r="AG72" s="35">
        <f>IF(AQ72="2",BI72,0)</f>
        <v>0</v>
      </c>
      <c r="AH72" s="35">
        <f>IF(AQ72="0",BJ72,0)</f>
        <v>0</v>
      </c>
      <c r="AI72" s="29" t="s">
        <v>417</v>
      </c>
      <c r="AJ72" s="17">
        <f>IF(AN72=0,K72,0)</f>
        <v>0</v>
      </c>
      <c r="AK72" s="17">
        <f>IF(AN72=15,K72,0)</f>
        <v>0</v>
      </c>
      <c r="AL72" s="17">
        <f>IF(AN72=21,K72,0)</f>
        <v>0</v>
      </c>
      <c r="AN72" s="35">
        <v>21</v>
      </c>
      <c r="AO72" s="35">
        <f>H72*0.00934994307554688</f>
        <v>0</v>
      </c>
      <c r="AP72" s="35">
        <f>H72*(1-0.00934994307554688)</f>
        <v>0</v>
      </c>
      <c r="AQ72" s="30" t="s">
        <v>11</v>
      </c>
      <c r="AV72" s="35">
        <f>AW72+AX72</f>
        <v>0</v>
      </c>
      <c r="AW72" s="35">
        <f>G72*AO72</f>
        <v>0</v>
      </c>
      <c r="AX72" s="35">
        <f>G72*AP72</f>
        <v>0</v>
      </c>
      <c r="AY72" s="36" t="s">
        <v>429</v>
      </c>
      <c r="AZ72" s="36" t="s">
        <v>440</v>
      </c>
      <c r="BA72" s="29" t="s">
        <v>449</v>
      </c>
      <c r="BC72" s="35">
        <f>AW72+AX72</f>
        <v>0</v>
      </c>
      <c r="BD72" s="35">
        <f>H72/(100-BE72)*100</f>
        <v>0</v>
      </c>
      <c r="BE72" s="35">
        <v>0</v>
      </c>
      <c r="BF72" s="35">
        <f>72</f>
        <v>72</v>
      </c>
      <c r="BH72" s="17">
        <f>G72*AO72</f>
        <v>0</v>
      </c>
      <c r="BI72" s="17">
        <f>G72*AP72</f>
        <v>0</v>
      </c>
      <c r="BJ72" s="17">
        <f>G72*H72</f>
        <v>0</v>
      </c>
    </row>
    <row r="73" spans="3:7" ht="12.75">
      <c r="C73" s="67" t="s">
        <v>208</v>
      </c>
      <c r="D73" s="68"/>
      <c r="E73" s="68"/>
      <c r="G73" s="18">
        <v>4.677</v>
      </c>
    </row>
    <row r="74" spans="1:62" ht="12.75">
      <c r="A74" s="5" t="s">
        <v>33</v>
      </c>
      <c r="B74" s="5" t="s">
        <v>108</v>
      </c>
      <c r="C74" s="69" t="s">
        <v>209</v>
      </c>
      <c r="D74" s="70"/>
      <c r="E74" s="70"/>
      <c r="F74" s="5" t="s">
        <v>383</v>
      </c>
      <c r="G74" s="17">
        <f>'Stavební rozpočet'!G79</f>
        <v>4.677</v>
      </c>
      <c r="H74" s="17">
        <f>'Stavební rozpočet'!H79</f>
        <v>0</v>
      </c>
      <c r="I74" s="17">
        <f>G74*AO74</f>
        <v>0</v>
      </c>
      <c r="J74" s="17">
        <f>G74*AP74</f>
        <v>0</v>
      </c>
      <c r="K74" s="17">
        <f>G74*H74</f>
        <v>0</v>
      </c>
      <c r="L74" s="30" t="s">
        <v>407</v>
      </c>
      <c r="Z74" s="35">
        <f>IF(AQ74="5",BJ74,0)</f>
        <v>0</v>
      </c>
      <c r="AB74" s="35">
        <f>IF(AQ74="1",BH74,0)</f>
        <v>0</v>
      </c>
      <c r="AC74" s="35">
        <f>IF(AQ74="1",BI74,0)</f>
        <v>0</v>
      </c>
      <c r="AD74" s="35">
        <f>IF(AQ74="7",BH74,0)</f>
        <v>0</v>
      </c>
      <c r="AE74" s="35">
        <f>IF(AQ74="7",BI74,0)</f>
        <v>0</v>
      </c>
      <c r="AF74" s="35">
        <f>IF(AQ74="2",BH74,0)</f>
        <v>0</v>
      </c>
      <c r="AG74" s="35">
        <f>IF(AQ74="2",BI74,0)</f>
        <v>0</v>
      </c>
      <c r="AH74" s="35">
        <f>IF(AQ74="0",BJ74,0)</f>
        <v>0</v>
      </c>
      <c r="AI74" s="29" t="s">
        <v>417</v>
      </c>
      <c r="AJ74" s="17">
        <f>IF(AN74=0,K74,0)</f>
        <v>0</v>
      </c>
      <c r="AK74" s="17">
        <f>IF(AN74=15,K74,0)</f>
        <v>0</v>
      </c>
      <c r="AL74" s="17">
        <f>IF(AN74=21,K74,0)</f>
        <v>0</v>
      </c>
      <c r="AN74" s="35">
        <v>21</v>
      </c>
      <c r="AO74" s="35">
        <f>H74*0</f>
        <v>0</v>
      </c>
      <c r="AP74" s="35">
        <f>H74*(1-0)</f>
        <v>0</v>
      </c>
      <c r="AQ74" s="30" t="s">
        <v>11</v>
      </c>
      <c r="AV74" s="35">
        <f>AW74+AX74</f>
        <v>0</v>
      </c>
      <c r="AW74" s="35">
        <f>G74*AO74</f>
        <v>0</v>
      </c>
      <c r="AX74" s="35">
        <f>G74*AP74</f>
        <v>0</v>
      </c>
      <c r="AY74" s="36" t="s">
        <v>429</v>
      </c>
      <c r="AZ74" s="36" t="s">
        <v>440</v>
      </c>
      <c r="BA74" s="29" t="s">
        <v>449</v>
      </c>
      <c r="BC74" s="35">
        <f>AW74+AX74</f>
        <v>0</v>
      </c>
      <c r="BD74" s="35">
        <f>H74/(100-BE74)*100</f>
        <v>0</v>
      </c>
      <c r="BE74" s="35">
        <v>0</v>
      </c>
      <c r="BF74" s="35">
        <f>74</f>
        <v>74</v>
      </c>
      <c r="BH74" s="17">
        <f>G74*AO74</f>
        <v>0</v>
      </c>
      <c r="BI74" s="17">
        <f>G74*AP74</f>
        <v>0</v>
      </c>
      <c r="BJ74" s="17">
        <f>G74*H74</f>
        <v>0</v>
      </c>
    </row>
    <row r="75" spans="3:7" ht="12.75">
      <c r="C75" s="67" t="s">
        <v>208</v>
      </c>
      <c r="D75" s="68"/>
      <c r="E75" s="68"/>
      <c r="G75" s="18">
        <v>4.677</v>
      </c>
    </row>
    <row r="76" spans="1:62" ht="12.75">
      <c r="A76" s="5" t="s">
        <v>34</v>
      </c>
      <c r="B76" s="5" t="s">
        <v>109</v>
      </c>
      <c r="C76" s="69" t="s">
        <v>210</v>
      </c>
      <c r="D76" s="70"/>
      <c r="E76" s="70"/>
      <c r="F76" s="5" t="s">
        <v>383</v>
      </c>
      <c r="G76" s="17">
        <f>'Stavební rozpočet'!G81</f>
        <v>4.677</v>
      </c>
      <c r="H76" s="17">
        <f>'Stavební rozpočet'!H81</f>
        <v>0</v>
      </c>
      <c r="I76" s="17">
        <f>G76*AO76</f>
        <v>0</v>
      </c>
      <c r="J76" s="17">
        <f>G76*AP76</f>
        <v>0</v>
      </c>
      <c r="K76" s="17">
        <f>G76*H76</f>
        <v>0</v>
      </c>
      <c r="L76" s="30" t="s">
        <v>407</v>
      </c>
      <c r="Z76" s="35">
        <f>IF(AQ76="5",BJ76,0)</f>
        <v>0</v>
      </c>
      <c r="AB76" s="35">
        <f>IF(AQ76="1",BH76,0)</f>
        <v>0</v>
      </c>
      <c r="AC76" s="35">
        <f>IF(AQ76="1",BI76,0)</f>
        <v>0</v>
      </c>
      <c r="AD76" s="35">
        <f>IF(AQ76="7",BH76,0)</f>
        <v>0</v>
      </c>
      <c r="AE76" s="35">
        <f>IF(AQ76="7",BI76,0)</f>
        <v>0</v>
      </c>
      <c r="AF76" s="35">
        <f>IF(AQ76="2",BH76,0)</f>
        <v>0</v>
      </c>
      <c r="AG76" s="35">
        <f>IF(AQ76="2",BI76,0)</f>
        <v>0</v>
      </c>
      <c r="AH76" s="35">
        <f>IF(AQ76="0",BJ76,0)</f>
        <v>0</v>
      </c>
      <c r="AI76" s="29" t="s">
        <v>417</v>
      </c>
      <c r="AJ76" s="17">
        <f>IF(AN76=0,K76,0)</f>
        <v>0</v>
      </c>
      <c r="AK76" s="17">
        <f>IF(AN76=15,K76,0)</f>
        <v>0</v>
      </c>
      <c r="AL76" s="17">
        <f>IF(AN76=21,K76,0)</f>
        <v>0</v>
      </c>
      <c r="AN76" s="35">
        <v>21</v>
      </c>
      <c r="AO76" s="35">
        <f>H76*0</f>
        <v>0</v>
      </c>
      <c r="AP76" s="35">
        <f>H76*(1-0)</f>
        <v>0</v>
      </c>
      <c r="AQ76" s="30" t="s">
        <v>11</v>
      </c>
      <c r="AV76" s="35">
        <f>AW76+AX76</f>
        <v>0</v>
      </c>
      <c r="AW76" s="35">
        <f>G76*AO76</f>
        <v>0</v>
      </c>
      <c r="AX76" s="35">
        <f>G76*AP76</f>
        <v>0</v>
      </c>
      <c r="AY76" s="36" t="s">
        <v>429</v>
      </c>
      <c r="AZ76" s="36" t="s">
        <v>440</v>
      </c>
      <c r="BA76" s="29" t="s">
        <v>449</v>
      </c>
      <c r="BC76" s="35">
        <f>AW76+AX76</f>
        <v>0</v>
      </c>
      <c r="BD76" s="35">
        <f>H76/(100-BE76)*100</f>
        <v>0</v>
      </c>
      <c r="BE76" s="35">
        <v>0</v>
      </c>
      <c r="BF76" s="35">
        <f>76</f>
        <v>76</v>
      </c>
      <c r="BH76" s="17">
        <f>G76*AO76</f>
        <v>0</v>
      </c>
      <c r="BI76" s="17">
        <f>G76*AP76</f>
        <v>0</v>
      </c>
      <c r="BJ76" s="17">
        <f>G76*H76</f>
        <v>0</v>
      </c>
    </row>
    <row r="77" spans="3:7" ht="12.75">
      <c r="C77" s="67" t="s">
        <v>208</v>
      </c>
      <c r="D77" s="68"/>
      <c r="E77" s="68"/>
      <c r="G77" s="18">
        <v>4.677</v>
      </c>
    </row>
    <row r="78" spans="1:12" ht="12.75">
      <c r="A78" s="7"/>
      <c r="B78" s="15"/>
      <c r="C78" s="77" t="s">
        <v>211</v>
      </c>
      <c r="D78" s="78"/>
      <c r="E78" s="78"/>
      <c r="F78" s="7" t="s">
        <v>6</v>
      </c>
      <c r="G78" s="7" t="s">
        <v>6</v>
      </c>
      <c r="H78" s="7" t="s">
        <v>6</v>
      </c>
      <c r="I78" s="39">
        <f>I79+I84+I109+I112</f>
        <v>0</v>
      </c>
      <c r="J78" s="39">
        <f>J79+J84+J109+J112</f>
        <v>150000</v>
      </c>
      <c r="K78" s="39">
        <f>K79+K84+K109+K112</f>
        <v>150000</v>
      </c>
      <c r="L78" s="32"/>
    </row>
    <row r="79" spans="1:47" ht="12.75">
      <c r="A79" s="4"/>
      <c r="B79" s="14" t="s">
        <v>9</v>
      </c>
      <c r="C79" s="75" t="s">
        <v>465</v>
      </c>
      <c r="D79" s="76"/>
      <c r="E79" s="76"/>
      <c r="F79" s="4" t="s">
        <v>6</v>
      </c>
      <c r="G79" s="4" t="s">
        <v>6</v>
      </c>
      <c r="H79" s="4" t="s">
        <v>6</v>
      </c>
      <c r="I79" s="38">
        <f>SUM(I80:I82)</f>
        <v>0</v>
      </c>
      <c r="J79" s="38">
        <f>SUM(J80:J82)</f>
        <v>0</v>
      </c>
      <c r="K79" s="38">
        <f>SUM(K80:K82)</f>
        <v>0</v>
      </c>
      <c r="L79" s="29"/>
      <c r="AI79" s="29" t="s">
        <v>418</v>
      </c>
      <c r="AS79" s="38">
        <f>SUM(AJ80:AJ82)</f>
        <v>0</v>
      </c>
      <c r="AT79" s="38">
        <f>SUM(AK80:AK82)</f>
        <v>0</v>
      </c>
      <c r="AU79" s="38">
        <f>SUM(AL80:AL82)</f>
        <v>0</v>
      </c>
    </row>
    <row r="80" spans="1:62" ht="12.75">
      <c r="A80" s="5" t="s">
        <v>35</v>
      </c>
      <c r="B80" s="5" t="s">
        <v>110</v>
      </c>
      <c r="C80" s="69" t="s">
        <v>213</v>
      </c>
      <c r="D80" s="70"/>
      <c r="E80" s="70"/>
      <c r="F80" s="5" t="s">
        <v>384</v>
      </c>
      <c r="G80" s="17">
        <f>'Stavební rozpočet'!G85</f>
        <v>3.19072</v>
      </c>
      <c r="H80" s="17">
        <f>'Stavební rozpočet'!H85</f>
        <v>0</v>
      </c>
      <c r="I80" s="17">
        <f>G80*AO80</f>
        <v>0</v>
      </c>
      <c r="J80" s="17">
        <f>G80*AP80</f>
        <v>0</v>
      </c>
      <c r="K80" s="17">
        <f>G80*H80</f>
        <v>0</v>
      </c>
      <c r="L80" s="30" t="s">
        <v>407</v>
      </c>
      <c r="Z80" s="35">
        <f>IF(AQ80="5",BJ80,0)</f>
        <v>0</v>
      </c>
      <c r="AB80" s="35">
        <f>IF(AQ80="1",BH80,0)</f>
        <v>0</v>
      </c>
      <c r="AC80" s="35">
        <f>IF(AQ80="1",BI80,0)</f>
        <v>0</v>
      </c>
      <c r="AD80" s="35">
        <f>IF(AQ80="7",BH80,0)</f>
        <v>0</v>
      </c>
      <c r="AE80" s="35">
        <f>IF(AQ80="7",BI80,0)</f>
        <v>0</v>
      </c>
      <c r="AF80" s="35">
        <f>IF(AQ80="2",BH80,0)</f>
        <v>0</v>
      </c>
      <c r="AG80" s="35">
        <f>IF(AQ80="2",BI80,0)</f>
        <v>0</v>
      </c>
      <c r="AH80" s="35">
        <f>IF(AQ80="0",BJ80,0)</f>
        <v>0</v>
      </c>
      <c r="AI80" s="29" t="s">
        <v>418</v>
      </c>
      <c r="AJ80" s="17">
        <f>IF(AN80=0,K80,0)</f>
        <v>0</v>
      </c>
      <c r="AK80" s="17">
        <f>IF(AN80=15,K80,0)</f>
        <v>0</v>
      </c>
      <c r="AL80" s="17">
        <f>IF(AN80=21,K80,0)</f>
        <v>0</v>
      </c>
      <c r="AN80" s="35">
        <v>21</v>
      </c>
      <c r="AO80" s="35">
        <f>H80*0.766539968795677</f>
        <v>0</v>
      </c>
      <c r="AP80" s="35">
        <f>H80*(1-0.766539968795677)</f>
        <v>0</v>
      </c>
      <c r="AQ80" s="30" t="s">
        <v>7</v>
      </c>
      <c r="AV80" s="35">
        <f>AW80+AX80</f>
        <v>0</v>
      </c>
      <c r="AW80" s="35">
        <f>G80*AO80</f>
        <v>0</v>
      </c>
      <c r="AX80" s="35">
        <f>G80*AP80</f>
        <v>0</v>
      </c>
      <c r="AY80" s="36" t="s">
        <v>430</v>
      </c>
      <c r="AZ80" s="36" t="s">
        <v>441</v>
      </c>
      <c r="BA80" s="29" t="s">
        <v>450</v>
      </c>
      <c r="BC80" s="35">
        <f>AW80+AX80</f>
        <v>0</v>
      </c>
      <c r="BD80" s="35">
        <f>H80/(100-BE80)*100</f>
        <v>0</v>
      </c>
      <c r="BE80" s="35">
        <v>0</v>
      </c>
      <c r="BF80" s="35">
        <f>80</f>
        <v>80</v>
      </c>
      <c r="BH80" s="17">
        <f>G80*AO80</f>
        <v>0</v>
      </c>
      <c r="BI80" s="17">
        <f>G80*AP80</f>
        <v>0</v>
      </c>
      <c r="BJ80" s="17">
        <f>G80*H80</f>
        <v>0</v>
      </c>
    </row>
    <row r="81" spans="3:7" ht="12.75">
      <c r="C81" s="67" t="s">
        <v>214</v>
      </c>
      <c r="D81" s="68"/>
      <c r="E81" s="68"/>
      <c r="G81" s="18">
        <v>3.19072</v>
      </c>
    </row>
    <row r="82" spans="1:62" ht="12.75">
      <c r="A82" s="5" t="s">
        <v>36</v>
      </c>
      <c r="B82" s="5" t="s">
        <v>111</v>
      </c>
      <c r="C82" s="69" t="s">
        <v>215</v>
      </c>
      <c r="D82" s="70"/>
      <c r="E82" s="70"/>
      <c r="F82" s="5" t="s">
        <v>384</v>
      </c>
      <c r="G82" s="17">
        <f>'Stavební rozpočet'!G87</f>
        <v>0.264</v>
      </c>
      <c r="H82" s="17">
        <f>'Stavební rozpočet'!H87</f>
        <v>0</v>
      </c>
      <c r="I82" s="17">
        <f>G82*AO82</f>
        <v>0</v>
      </c>
      <c r="J82" s="17">
        <f>G82*AP82</f>
        <v>0</v>
      </c>
      <c r="K82" s="17">
        <f>G82*H82</f>
        <v>0</v>
      </c>
      <c r="L82" s="30" t="s">
        <v>407</v>
      </c>
      <c r="Z82" s="35">
        <f>IF(AQ82="5",BJ82,0)</f>
        <v>0</v>
      </c>
      <c r="AB82" s="35">
        <f>IF(AQ82="1",BH82,0)</f>
        <v>0</v>
      </c>
      <c r="AC82" s="35">
        <f>IF(AQ82="1",BI82,0)</f>
        <v>0</v>
      </c>
      <c r="AD82" s="35">
        <f>IF(AQ82="7",BH82,0)</f>
        <v>0</v>
      </c>
      <c r="AE82" s="35">
        <f>IF(AQ82="7",BI82,0)</f>
        <v>0</v>
      </c>
      <c r="AF82" s="35">
        <f>IF(AQ82="2",BH82,0)</f>
        <v>0</v>
      </c>
      <c r="AG82" s="35">
        <f>IF(AQ82="2",BI82,0)</f>
        <v>0</v>
      </c>
      <c r="AH82" s="35">
        <f>IF(AQ82="0",BJ82,0)</f>
        <v>0</v>
      </c>
      <c r="AI82" s="29" t="s">
        <v>418</v>
      </c>
      <c r="AJ82" s="17">
        <f>IF(AN82=0,K82,0)</f>
        <v>0</v>
      </c>
      <c r="AK82" s="17">
        <f>IF(AN82=15,K82,0)</f>
        <v>0</v>
      </c>
      <c r="AL82" s="17">
        <f>IF(AN82=21,K82,0)</f>
        <v>0</v>
      </c>
      <c r="AN82" s="35">
        <v>21</v>
      </c>
      <c r="AO82" s="35">
        <f>H82*0.729703109971145</f>
        <v>0</v>
      </c>
      <c r="AP82" s="35">
        <f>H82*(1-0.729703109971145)</f>
        <v>0</v>
      </c>
      <c r="AQ82" s="30" t="s">
        <v>7</v>
      </c>
      <c r="AV82" s="35">
        <f>AW82+AX82</f>
        <v>0</v>
      </c>
      <c r="AW82" s="35">
        <f>G82*AO82</f>
        <v>0</v>
      </c>
      <c r="AX82" s="35">
        <f>G82*AP82</f>
        <v>0</v>
      </c>
      <c r="AY82" s="36" t="s">
        <v>430</v>
      </c>
      <c r="AZ82" s="36" t="s">
        <v>441</v>
      </c>
      <c r="BA82" s="29" t="s">
        <v>450</v>
      </c>
      <c r="BC82" s="35">
        <f>AW82+AX82</f>
        <v>0</v>
      </c>
      <c r="BD82" s="35">
        <f>H82/(100-BE82)*100</f>
        <v>0</v>
      </c>
      <c r="BE82" s="35">
        <v>0</v>
      </c>
      <c r="BF82" s="35">
        <f>82</f>
        <v>82</v>
      </c>
      <c r="BH82" s="17">
        <f>G82*AO82</f>
        <v>0</v>
      </c>
      <c r="BI82" s="17">
        <f>G82*AP82</f>
        <v>0</v>
      </c>
      <c r="BJ82" s="17">
        <f>G82*H82</f>
        <v>0</v>
      </c>
    </row>
    <row r="83" spans="3:7" ht="12.75">
      <c r="C83" s="67" t="s">
        <v>216</v>
      </c>
      <c r="D83" s="68"/>
      <c r="E83" s="68"/>
      <c r="G83" s="18">
        <v>0.264</v>
      </c>
    </row>
    <row r="84" spans="1:47" ht="12.75">
      <c r="A84" s="4"/>
      <c r="B84" s="14" t="s">
        <v>12</v>
      </c>
      <c r="C84" s="75" t="s">
        <v>460</v>
      </c>
      <c r="D84" s="76"/>
      <c r="E84" s="76"/>
      <c r="F84" s="4" t="s">
        <v>6</v>
      </c>
      <c r="G84" s="4" t="s">
        <v>6</v>
      </c>
      <c r="H84" s="4" t="s">
        <v>6</v>
      </c>
      <c r="I84" s="38">
        <f>SUM(I85:I107)</f>
        <v>0</v>
      </c>
      <c r="J84" s="38">
        <f>SUM(J85:J107)</f>
        <v>0</v>
      </c>
      <c r="K84" s="38">
        <f>SUM(K85:K107)</f>
        <v>0</v>
      </c>
      <c r="L84" s="29"/>
      <c r="AI84" s="29" t="s">
        <v>418</v>
      </c>
      <c r="AS84" s="38">
        <f>SUM(AJ85:AJ107)</f>
        <v>0</v>
      </c>
      <c r="AT84" s="38">
        <f>SUM(AK85:AK107)</f>
        <v>0</v>
      </c>
      <c r="AU84" s="38">
        <f>SUM(AL85:AL107)</f>
        <v>0</v>
      </c>
    </row>
    <row r="85" spans="1:62" ht="12.75">
      <c r="A85" s="5" t="s">
        <v>37</v>
      </c>
      <c r="B85" s="5" t="s">
        <v>112</v>
      </c>
      <c r="C85" s="69" t="s">
        <v>217</v>
      </c>
      <c r="D85" s="70"/>
      <c r="E85" s="70"/>
      <c r="F85" s="5" t="s">
        <v>387</v>
      </c>
      <c r="G85" s="17">
        <f>'Stavební rozpočet'!G90</f>
        <v>1</v>
      </c>
      <c r="H85" s="17">
        <f>'Stavební rozpočet'!H90</f>
        <v>0</v>
      </c>
      <c r="I85" s="17">
        <f>G85*AO85</f>
        <v>0</v>
      </c>
      <c r="J85" s="17">
        <f>G85*AP85</f>
        <v>0</v>
      </c>
      <c r="K85" s="17">
        <f>G85*H85</f>
        <v>0</v>
      </c>
      <c r="L85" s="30" t="s">
        <v>407</v>
      </c>
      <c r="Z85" s="35">
        <f>IF(AQ85="5",BJ85,0)</f>
        <v>0</v>
      </c>
      <c r="AB85" s="35">
        <f>IF(AQ85="1",BH85,0)</f>
        <v>0</v>
      </c>
      <c r="AC85" s="35">
        <f>IF(AQ85="1",BI85,0)</f>
        <v>0</v>
      </c>
      <c r="AD85" s="35">
        <f>IF(AQ85="7",BH85,0)</f>
        <v>0</v>
      </c>
      <c r="AE85" s="35">
        <f>IF(AQ85="7",BI85,0)</f>
        <v>0</v>
      </c>
      <c r="AF85" s="35">
        <f>IF(AQ85="2",BH85,0)</f>
        <v>0</v>
      </c>
      <c r="AG85" s="35">
        <f>IF(AQ85="2",BI85,0)</f>
        <v>0</v>
      </c>
      <c r="AH85" s="35">
        <f>IF(AQ85="0",BJ85,0)</f>
        <v>0</v>
      </c>
      <c r="AI85" s="29" t="s">
        <v>418</v>
      </c>
      <c r="AJ85" s="17">
        <f>IF(AN85=0,K85,0)</f>
        <v>0</v>
      </c>
      <c r="AK85" s="17">
        <f>IF(AN85=15,K85,0)</f>
        <v>0</v>
      </c>
      <c r="AL85" s="17">
        <f>IF(AN85=21,K85,0)</f>
        <v>0</v>
      </c>
      <c r="AN85" s="35">
        <v>21</v>
      </c>
      <c r="AO85" s="35">
        <f>H85*0.154020031818584</f>
        <v>0</v>
      </c>
      <c r="AP85" s="35">
        <f>H85*(1-0.154020031818584)</f>
        <v>0</v>
      </c>
      <c r="AQ85" s="30" t="s">
        <v>7</v>
      </c>
      <c r="AV85" s="35">
        <f>AW85+AX85</f>
        <v>0</v>
      </c>
      <c r="AW85" s="35">
        <f>G85*AO85</f>
        <v>0</v>
      </c>
      <c r="AX85" s="35">
        <f>G85*AP85</f>
        <v>0</v>
      </c>
      <c r="AY85" s="36" t="s">
        <v>420</v>
      </c>
      <c r="AZ85" s="36" t="s">
        <v>442</v>
      </c>
      <c r="BA85" s="29" t="s">
        <v>450</v>
      </c>
      <c r="BC85" s="35">
        <f>AW85+AX85</f>
        <v>0</v>
      </c>
      <c r="BD85" s="35">
        <f>H85/(100-BE85)*100</f>
        <v>0</v>
      </c>
      <c r="BE85" s="35">
        <v>0</v>
      </c>
      <c r="BF85" s="35">
        <f>85</f>
        <v>85</v>
      </c>
      <c r="BH85" s="17">
        <f>G85*AO85</f>
        <v>0</v>
      </c>
      <c r="BI85" s="17">
        <f>G85*AP85</f>
        <v>0</v>
      </c>
      <c r="BJ85" s="17">
        <f>G85*H85</f>
        <v>0</v>
      </c>
    </row>
    <row r="86" spans="3:7" ht="12.75">
      <c r="C86" s="67" t="s">
        <v>218</v>
      </c>
      <c r="D86" s="68"/>
      <c r="E86" s="68"/>
      <c r="G86" s="18">
        <v>1</v>
      </c>
    </row>
    <row r="87" spans="1:62" ht="12.75">
      <c r="A87" s="5" t="s">
        <v>38</v>
      </c>
      <c r="B87" s="5" t="s">
        <v>113</v>
      </c>
      <c r="C87" s="69" t="s">
        <v>219</v>
      </c>
      <c r="D87" s="70"/>
      <c r="E87" s="70"/>
      <c r="F87" s="5" t="s">
        <v>387</v>
      </c>
      <c r="G87" s="17">
        <f>'Stavební rozpočet'!G92</f>
        <v>1</v>
      </c>
      <c r="H87" s="17">
        <f>'Stavební rozpočet'!H92</f>
        <v>0</v>
      </c>
      <c r="I87" s="17">
        <f>G87*AO87</f>
        <v>0</v>
      </c>
      <c r="J87" s="17">
        <f>G87*AP87</f>
        <v>0</v>
      </c>
      <c r="K87" s="17">
        <f>G87*H87</f>
        <v>0</v>
      </c>
      <c r="L87" s="30" t="s">
        <v>407</v>
      </c>
      <c r="Z87" s="35">
        <f>IF(AQ87="5",BJ87,0)</f>
        <v>0</v>
      </c>
      <c r="AB87" s="35">
        <f>IF(AQ87="1",BH87,0)</f>
        <v>0</v>
      </c>
      <c r="AC87" s="35">
        <f>IF(AQ87="1",BI87,0)</f>
        <v>0</v>
      </c>
      <c r="AD87" s="35">
        <f>IF(AQ87="7",BH87,0)</f>
        <v>0</v>
      </c>
      <c r="AE87" s="35">
        <f>IF(AQ87="7",BI87,0)</f>
        <v>0</v>
      </c>
      <c r="AF87" s="35">
        <f>IF(AQ87="2",BH87,0)</f>
        <v>0</v>
      </c>
      <c r="AG87" s="35">
        <f>IF(AQ87="2",BI87,0)</f>
        <v>0</v>
      </c>
      <c r="AH87" s="35">
        <f>IF(AQ87="0",BJ87,0)</f>
        <v>0</v>
      </c>
      <c r="AI87" s="29" t="s">
        <v>418</v>
      </c>
      <c r="AJ87" s="17">
        <f>IF(AN87=0,K87,0)</f>
        <v>0</v>
      </c>
      <c r="AK87" s="17">
        <f>IF(AN87=15,K87,0)</f>
        <v>0</v>
      </c>
      <c r="AL87" s="17">
        <f>IF(AN87=21,K87,0)</f>
        <v>0</v>
      </c>
      <c r="AN87" s="35">
        <v>21</v>
      </c>
      <c r="AO87" s="35">
        <f>H87*0.213494208494208</f>
        <v>0</v>
      </c>
      <c r="AP87" s="35">
        <f>H87*(1-0.213494208494208)</f>
        <v>0</v>
      </c>
      <c r="AQ87" s="30" t="s">
        <v>7</v>
      </c>
      <c r="AV87" s="35">
        <f>AW87+AX87</f>
        <v>0</v>
      </c>
      <c r="AW87" s="35">
        <f>G87*AO87</f>
        <v>0</v>
      </c>
      <c r="AX87" s="35">
        <f>G87*AP87</f>
        <v>0</v>
      </c>
      <c r="AY87" s="36" t="s">
        <v>420</v>
      </c>
      <c r="AZ87" s="36" t="s">
        <v>442</v>
      </c>
      <c r="BA87" s="29" t="s">
        <v>450</v>
      </c>
      <c r="BC87" s="35">
        <f>AW87+AX87</f>
        <v>0</v>
      </c>
      <c r="BD87" s="35">
        <f>H87/(100-BE87)*100</f>
        <v>0</v>
      </c>
      <c r="BE87" s="35">
        <v>0</v>
      </c>
      <c r="BF87" s="35">
        <f>87</f>
        <v>87</v>
      </c>
      <c r="BH87" s="17">
        <f>G87*AO87</f>
        <v>0</v>
      </c>
      <c r="BI87" s="17">
        <f>G87*AP87</f>
        <v>0</v>
      </c>
      <c r="BJ87" s="17">
        <f>G87*H87</f>
        <v>0</v>
      </c>
    </row>
    <row r="88" spans="3:7" ht="12.75">
      <c r="C88" s="67" t="s">
        <v>220</v>
      </c>
      <c r="D88" s="68"/>
      <c r="E88" s="68"/>
      <c r="G88" s="18">
        <v>1</v>
      </c>
    </row>
    <row r="89" spans="1:62" ht="12.75">
      <c r="A89" s="5" t="s">
        <v>39</v>
      </c>
      <c r="B89" s="5" t="s">
        <v>114</v>
      </c>
      <c r="C89" s="69" t="s">
        <v>221</v>
      </c>
      <c r="D89" s="70"/>
      <c r="E89" s="70"/>
      <c r="F89" s="5" t="s">
        <v>387</v>
      </c>
      <c r="G89" s="17">
        <f>'Stavební rozpočet'!G94</f>
        <v>1</v>
      </c>
      <c r="H89" s="17">
        <f>'Stavební rozpočet'!H94</f>
        <v>0</v>
      </c>
      <c r="I89" s="17">
        <f>G89*AO89</f>
        <v>0</v>
      </c>
      <c r="J89" s="17">
        <f>G89*AP89</f>
        <v>0</v>
      </c>
      <c r="K89" s="17">
        <f>G89*H89</f>
        <v>0</v>
      </c>
      <c r="L89" s="30" t="s">
        <v>407</v>
      </c>
      <c r="Z89" s="35">
        <f>IF(AQ89="5",BJ89,0)</f>
        <v>0</v>
      </c>
      <c r="AB89" s="35">
        <f>IF(AQ89="1",BH89,0)</f>
        <v>0</v>
      </c>
      <c r="AC89" s="35">
        <f>IF(AQ89="1",BI89,0)</f>
        <v>0</v>
      </c>
      <c r="AD89" s="35">
        <f>IF(AQ89="7",BH89,0)</f>
        <v>0</v>
      </c>
      <c r="AE89" s="35">
        <f>IF(AQ89="7",BI89,0)</f>
        <v>0</v>
      </c>
      <c r="AF89" s="35">
        <f>IF(AQ89="2",BH89,0)</f>
        <v>0</v>
      </c>
      <c r="AG89" s="35">
        <f>IF(AQ89="2",BI89,0)</f>
        <v>0</v>
      </c>
      <c r="AH89" s="35">
        <f>IF(AQ89="0",BJ89,0)</f>
        <v>0</v>
      </c>
      <c r="AI89" s="29" t="s">
        <v>418</v>
      </c>
      <c r="AJ89" s="17">
        <f>IF(AN89=0,K89,0)</f>
        <v>0</v>
      </c>
      <c r="AK89" s="17">
        <f>IF(AN89=15,K89,0)</f>
        <v>0</v>
      </c>
      <c r="AL89" s="17">
        <f>IF(AN89=21,K89,0)</f>
        <v>0</v>
      </c>
      <c r="AN89" s="35">
        <v>21</v>
      </c>
      <c r="AO89" s="35">
        <f>H89*0.261901181525242</f>
        <v>0</v>
      </c>
      <c r="AP89" s="35">
        <f>H89*(1-0.261901181525242)</f>
        <v>0</v>
      </c>
      <c r="AQ89" s="30" t="s">
        <v>7</v>
      </c>
      <c r="AV89" s="35">
        <f>AW89+AX89</f>
        <v>0</v>
      </c>
      <c r="AW89" s="35">
        <f>G89*AO89</f>
        <v>0</v>
      </c>
      <c r="AX89" s="35">
        <f>G89*AP89</f>
        <v>0</v>
      </c>
      <c r="AY89" s="36" t="s">
        <v>420</v>
      </c>
      <c r="AZ89" s="36" t="s">
        <v>442</v>
      </c>
      <c r="BA89" s="29" t="s">
        <v>450</v>
      </c>
      <c r="BC89" s="35">
        <f>AW89+AX89</f>
        <v>0</v>
      </c>
      <c r="BD89" s="35">
        <f>H89/(100-BE89)*100</f>
        <v>0</v>
      </c>
      <c r="BE89" s="35">
        <v>0</v>
      </c>
      <c r="BF89" s="35">
        <f>89</f>
        <v>89</v>
      </c>
      <c r="BH89" s="17">
        <f>G89*AO89</f>
        <v>0</v>
      </c>
      <c r="BI89" s="17">
        <f>G89*AP89</f>
        <v>0</v>
      </c>
      <c r="BJ89" s="17">
        <f>G89*H89</f>
        <v>0</v>
      </c>
    </row>
    <row r="90" spans="3:7" ht="12.75">
      <c r="C90" s="67" t="s">
        <v>7</v>
      </c>
      <c r="D90" s="68"/>
      <c r="E90" s="68"/>
      <c r="G90" s="18">
        <v>1</v>
      </c>
    </row>
    <row r="91" spans="1:62" ht="12.75">
      <c r="A91" s="5" t="s">
        <v>40</v>
      </c>
      <c r="B91" s="5" t="s">
        <v>115</v>
      </c>
      <c r="C91" s="69" t="s">
        <v>222</v>
      </c>
      <c r="D91" s="70"/>
      <c r="E91" s="70"/>
      <c r="F91" s="5" t="s">
        <v>387</v>
      </c>
      <c r="G91" s="17">
        <f>'Stavební rozpočet'!G96</f>
        <v>1</v>
      </c>
      <c r="H91" s="17">
        <f>'Stavební rozpočet'!H96</f>
        <v>0</v>
      </c>
      <c r="I91" s="17">
        <f>G91*AO91</f>
        <v>0</v>
      </c>
      <c r="J91" s="17">
        <f>G91*AP91</f>
        <v>0</v>
      </c>
      <c r="K91" s="17">
        <f>G91*H91</f>
        <v>0</v>
      </c>
      <c r="L91" s="30" t="s">
        <v>407</v>
      </c>
      <c r="Z91" s="35">
        <f>IF(AQ91="5",BJ91,0)</f>
        <v>0</v>
      </c>
      <c r="AB91" s="35">
        <f>IF(AQ91="1",BH91,0)</f>
        <v>0</v>
      </c>
      <c r="AC91" s="35">
        <f>IF(AQ91="1",BI91,0)</f>
        <v>0</v>
      </c>
      <c r="AD91" s="35">
        <f>IF(AQ91="7",BH91,0)</f>
        <v>0</v>
      </c>
      <c r="AE91" s="35">
        <f>IF(AQ91="7",BI91,0)</f>
        <v>0</v>
      </c>
      <c r="AF91" s="35">
        <f>IF(AQ91="2",BH91,0)</f>
        <v>0</v>
      </c>
      <c r="AG91" s="35">
        <f>IF(AQ91="2",BI91,0)</f>
        <v>0</v>
      </c>
      <c r="AH91" s="35">
        <f>IF(AQ91="0",BJ91,0)</f>
        <v>0</v>
      </c>
      <c r="AI91" s="29" t="s">
        <v>418</v>
      </c>
      <c r="AJ91" s="17">
        <f>IF(AN91=0,K91,0)</f>
        <v>0</v>
      </c>
      <c r="AK91" s="17">
        <f>IF(AN91=15,K91,0)</f>
        <v>0</v>
      </c>
      <c r="AL91" s="17">
        <f>IF(AN91=21,K91,0)</f>
        <v>0</v>
      </c>
      <c r="AN91" s="35">
        <v>21</v>
      </c>
      <c r="AO91" s="35">
        <f>H91*0.298941009239517</f>
        <v>0</v>
      </c>
      <c r="AP91" s="35">
        <f>H91*(1-0.298941009239517)</f>
        <v>0</v>
      </c>
      <c r="AQ91" s="30" t="s">
        <v>7</v>
      </c>
      <c r="AV91" s="35">
        <f>AW91+AX91</f>
        <v>0</v>
      </c>
      <c r="AW91" s="35">
        <f>G91*AO91</f>
        <v>0</v>
      </c>
      <c r="AX91" s="35">
        <f>G91*AP91</f>
        <v>0</v>
      </c>
      <c r="AY91" s="36" t="s">
        <v>420</v>
      </c>
      <c r="AZ91" s="36" t="s">
        <v>442</v>
      </c>
      <c r="BA91" s="29" t="s">
        <v>450</v>
      </c>
      <c r="BC91" s="35">
        <f>AW91+AX91</f>
        <v>0</v>
      </c>
      <c r="BD91" s="35">
        <f>H91/(100-BE91)*100</f>
        <v>0</v>
      </c>
      <c r="BE91" s="35">
        <v>0</v>
      </c>
      <c r="BF91" s="35">
        <f>91</f>
        <v>91</v>
      </c>
      <c r="BH91" s="17">
        <f>G91*AO91</f>
        <v>0</v>
      </c>
      <c r="BI91" s="17">
        <f>G91*AP91</f>
        <v>0</v>
      </c>
      <c r="BJ91" s="17">
        <f>G91*H91</f>
        <v>0</v>
      </c>
    </row>
    <row r="92" spans="3:7" ht="12.75">
      <c r="C92" s="67" t="s">
        <v>7</v>
      </c>
      <c r="D92" s="68"/>
      <c r="E92" s="68"/>
      <c r="G92" s="18">
        <v>1</v>
      </c>
    </row>
    <row r="93" spans="1:62" ht="12.75">
      <c r="A93" s="5" t="s">
        <v>41</v>
      </c>
      <c r="B93" s="5" t="s">
        <v>116</v>
      </c>
      <c r="C93" s="69" t="s">
        <v>223</v>
      </c>
      <c r="D93" s="70"/>
      <c r="E93" s="70"/>
      <c r="F93" s="5" t="s">
        <v>387</v>
      </c>
      <c r="G93" s="17">
        <f>'Stavební rozpočet'!G98</f>
        <v>1</v>
      </c>
      <c r="H93" s="17">
        <f>'Stavební rozpočet'!H98</f>
        <v>0</v>
      </c>
      <c r="I93" s="17">
        <f>G93*AO93</f>
        <v>0</v>
      </c>
      <c r="J93" s="17">
        <f>G93*AP93</f>
        <v>0</v>
      </c>
      <c r="K93" s="17">
        <f>G93*H93</f>
        <v>0</v>
      </c>
      <c r="L93" s="30" t="s">
        <v>407</v>
      </c>
      <c r="Z93" s="35">
        <f>IF(AQ93="5",BJ93,0)</f>
        <v>0</v>
      </c>
      <c r="AB93" s="35">
        <f>IF(AQ93="1",BH93,0)</f>
        <v>0</v>
      </c>
      <c r="AC93" s="35">
        <f>IF(AQ93="1",BI93,0)</f>
        <v>0</v>
      </c>
      <c r="AD93" s="35">
        <f>IF(AQ93="7",BH93,0)</f>
        <v>0</v>
      </c>
      <c r="AE93" s="35">
        <f>IF(AQ93="7",BI93,0)</f>
        <v>0</v>
      </c>
      <c r="AF93" s="35">
        <f>IF(AQ93="2",BH93,0)</f>
        <v>0</v>
      </c>
      <c r="AG93" s="35">
        <f>IF(AQ93="2",BI93,0)</f>
        <v>0</v>
      </c>
      <c r="AH93" s="35">
        <f>IF(AQ93="0",BJ93,0)</f>
        <v>0</v>
      </c>
      <c r="AI93" s="29" t="s">
        <v>418</v>
      </c>
      <c r="AJ93" s="17">
        <f>IF(AN93=0,K93,0)</f>
        <v>0</v>
      </c>
      <c r="AK93" s="17">
        <f>IF(AN93=15,K93,0)</f>
        <v>0</v>
      </c>
      <c r="AL93" s="17">
        <f>IF(AN93=21,K93,0)</f>
        <v>0</v>
      </c>
      <c r="AN93" s="35">
        <v>21</v>
      </c>
      <c r="AO93" s="35">
        <f>H93*0.288556769051794</f>
        <v>0</v>
      </c>
      <c r="AP93" s="35">
        <f>H93*(1-0.288556769051794)</f>
        <v>0</v>
      </c>
      <c r="AQ93" s="30" t="s">
        <v>7</v>
      </c>
      <c r="AV93" s="35">
        <f>AW93+AX93</f>
        <v>0</v>
      </c>
      <c r="AW93" s="35">
        <f>G93*AO93</f>
        <v>0</v>
      </c>
      <c r="AX93" s="35">
        <f>G93*AP93</f>
        <v>0</v>
      </c>
      <c r="AY93" s="36" t="s">
        <v>420</v>
      </c>
      <c r="AZ93" s="36" t="s">
        <v>442</v>
      </c>
      <c r="BA93" s="29" t="s">
        <v>450</v>
      </c>
      <c r="BC93" s="35">
        <f>AW93+AX93</f>
        <v>0</v>
      </c>
      <c r="BD93" s="35">
        <f>H93/(100-BE93)*100</f>
        <v>0</v>
      </c>
      <c r="BE93" s="35">
        <v>0</v>
      </c>
      <c r="BF93" s="35">
        <f>93</f>
        <v>93</v>
      </c>
      <c r="BH93" s="17">
        <f>G93*AO93</f>
        <v>0</v>
      </c>
      <c r="BI93" s="17">
        <f>G93*AP93</f>
        <v>0</v>
      </c>
      <c r="BJ93" s="17">
        <f>G93*H93</f>
        <v>0</v>
      </c>
    </row>
    <row r="94" spans="3:7" ht="12.75">
      <c r="C94" s="67" t="s">
        <v>7</v>
      </c>
      <c r="D94" s="68"/>
      <c r="E94" s="68"/>
      <c r="G94" s="18">
        <v>1</v>
      </c>
    </row>
    <row r="95" spans="1:62" ht="12.75">
      <c r="A95" s="5" t="s">
        <v>42</v>
      </c>
      <c r="B95" s="5" t="s">
        <v>117</v>
      </c>
      <c r="C95" s="69" t="s">
        <v>224</v>
      </c>
      <c r="D95" s="70"/>
      <c r="E95" s="70"/>
      <c r="F95" s="5" t="s">
        <v>387</v>
      </c>
      <c r="G95" s="17">
        <f>'Stavební rozpočet'!G100</f>
        <v>1</v>
      </c>
      <c r="H95" s="17">
        <f>'Stavební rozpočet'!H100</f>
        <v>0</v>
      </c>
      <c r="I95" s="17">
        <f>G95*AO95</f>
        <v>0</v>
      </c>
      <c r="J95" s="17">
        <f>G95*AP95</f>
        <v>0</v>
      </c>
      <c r="K95" s="17">
        <f>G95*H95</f>
        <v>0</v>
      </c>
      <c r="L95" s="30" t="s">
        <v>407</v>
      </c>
      <c r="Z95" s="35">
        <f>IF(AQ95="5",BJ95,0)</f>
        <v>0</v>
      </c>
      <c r="AB95" s="35">
        <f>IF(AQ95="1",BH95,0)</f>
        <v>0</v>
      </c>
      <c r="AC95" s="35">
        <f>IF(AQ95="1",BI95,0)</f>
        <v>0</v>
      </c>
      <c r="AD95" s="35">
        <f>IF(AQ95="7",BH95,0)</f>
        <v>0</v>
      </c>
      <c r="AE95" s="35">
        <f>IF(AQ95="7",BI95,0)</f>
        <v>0</v>
      </c>
      <c r="AF95" s="35">
        <f>IF(AQ95="2",BH95,0)</f>
        <v>0</v>
      </c>
      <c r="AG95" s="35">
        <f>IF(AQ95="2",BI95,0)</f>
        <v>0</v>
      </c>
      <c r="AH95" s="35">
        <f>IF(AQ95="0",BJ95,0)</f>
        <v>0</v>
      </c>
      <c r="AI95" s="29" t="s">
        <v>418</v>
      </c>
      <c r="AJ95" s="17">
        <f>IF(AN95=0,K95,0)</f>
        <v>0</v>
      </c>
      <c r="AK95" s="17">
        <f>IF(AN95=15,K95,0)</f>
        <v>0</v>
      </c>
      <c r="AL95" s="17">
        <f>IF(AN95=21,K95,0)</f>
        <v>0</v>
      </c>
      <c r="AN95" s="35">
        <v>21</v>
      </c>
      <c r="AO95" s="35">
        <f>H95*0.272247636474535</f>
        <v>0</v>
      </c>
      <c r="AP95" s="35">
        <f>H95*(1-0.272247636474535)</f>
        <v>0</v>
      </c>
      <c r="AQ95" s="30" t="s">
        <v>7</v>
      </c>
      <c r="AV95" s="35">
        <f>AW95+AX95</f>
        <v>0</v>
      </c>
      <c r="AW95" s="35">
        <f>G95*AO95</f>
        <v>0</v>
      </c>
      <c r="AX95" s="35">
        <f>G95*AP95</f>
        <v>0</v>
      </c>
      <c r="AY95" s="36" t="s">
        <v>420</v>
      </c>
      <c r="AZ95" s="36" t="s">
        <v>442</v>
      </c>
      <c r="BA95" s="29" t="s">
        <v>450</v>
      </c>
      <c r="BC95" s="35">
        <f>AW95+AX95</f>
        <v>0</v>
      </c>
      <c r="BD95" s="35">
        <f>H95/(100-BE95)*100</f>
        <v>0</v>
      </c>
      <c r="BE95" s="35">
        <v>0</v>
      </c>
      <c r="BF95" s="35">
        <f>95</f>
        <v>95</v>
      </c>
      <c r="BH95" s="17">
        <f>G95*AO95</f>
        <v>0</v>
      </c>
      <c r="BI95" s="17">
        <f>G95*AP95</f>
        <v>0</v>
      </c>
      <c r="BJ95" s="17">
        <f>G95*H95</f>
        <v>0</v>
      </c>
    </row>
    <row r="96" spans="3:7" ht="12.75">
      <c r="C96" s="67" t="s">
        <v>7</v>
      </c>
      <c r="D96" s="68"/>
      <c r="E96" s="68"/>
      <c r="G96" s="18">
        <v>1</v>
      </c>
    </row>
    <row r="97" spans="1:62" ht="12.75">
      <c r="A97" s="5" t="s">
        <v>43</v>
      </c>
      <c r="B97" s="5" t="s">
        <v>118</v>
      </c>
      <c r="C97" s="69" t="s">
        <v>225</v>
      </c>
      <c r="D97" s="70"/>
      <c r="E97" s="70"/>
      <c r="F97" s="5" t="s">
        <v>387</v>
      </c>
      <c r="G97" s="17">
        <f>'Stavební rozpočet'!G102</f>
        <v>1</v>
      </c>
      <c r="H97" s="17">
        <f>'Stavební rozpočet'!H102</f>
        <v>0</v>
      </c>
      <c r="I97" s="17">
        <f>G97*AO97</f>
        <v>0</v>
      </c>
      <c r="J97" s="17">
        <f>G97*AP97</f>
        <v>0</v>
      </c>
      <c r="K97" s="17">
        <f>G97*H97</f>
        <v>0</v>
      </c>
      <c r="L97" s="30" t="s">
        <v>407</v>
      </c>
      <c r="Z97" s="35">
        <f>IF(AQ97="5",BJ97,0)</f>
        <v>0</v>
      </c>
      <c r="AB97" s="35">
        <f>IF(AQ97="1",BH97,0)</f>
        <v>0</v>
      </c>
      <c r="AC97" s="35">
        <f>IF(AQ97="1",BI97,0)</f>
        <v>0</v>
      </c>
      <c r="AD97" s="35">
        <f>IF(AQ97="7",BH97,0)</f>
        <v>0</v>
      </c>
      <c r="AE97" s="35">
        <f>IF(AQ97="7",BI97,0)</f>
        <v>0</v>
      </c>
      <c r="AF97" s="35">
        <f>IF(AQ97="2",BH97,0)</f>
        <v>0</v>
      </c>
      <c r="AG97" s="35">
        <f>IF(AQ97="2",BI97,0)</f>
        <v>0</v>
      </c>
      <c r="AH97" s="35">
        <f>IF(AQ97="0",BJ97,0)</f>
        <v>0</v>
      </c>
      <c r="AI97" s="29" t="s">
        <v>418</v>
      </c>
      <c r="AJ97" s="17">
        <f>IF(AN97=0,K97,0)</f>
        <v>0</v>
      </c>
      <c r="AK97" s="17">
        <f>IF(AN97=15,K97,0)</f>
        <v>0</v>
      </c>
      <c r="AL97" s="17">
        <f>IF(AN97=21,K97,0)</f>
        <v>0</v>
      </c>
      <c r="AN97" s="35">
        <v>21</v>
      </c>
      <c r="AO97" s="35">
        <f>H97*0.244834143976478</f>
        <v>0</v>
      </c>
      <c r="AP97" s="35">
        <f>H97*(1-0.244834143976478)</f>
        <v>0</v>
      </c>
      <c r="AQ97" s="30" t="s">
        <v>7</v>
      </c>
      <c r="AV97" s="35">
        <f>AW97+AX97</f>
        <v>0</v>
      </c>
      <c r="AW97" s="35">
        <f>G97*AO97</f>
        <v>0</v>
      </c>
      <c r="AX97" s="35">
        <f>G97*AP97</f>
        <v>0</v>
      </c>
      <c r="AY97" s="36" t="s">
        <v>420</v>
      </c>
      <c r="AZ97" s="36" t="s">
        <v>442</v>
      </c>
      <c r="BA97" s="29" t="s">
        <v>450</v>
      </c>
      <c r="BC97" s="35">
        <f>AW97+AX97</f>
        <v>0</v>
      </c>
      <c r="BD97" s="35">
        <f>H97/(100-BE97)*100</f>
        <v>0</v>
      </c>
      <c r="BE97" s="35">
        <v>0</v>
      </c>
      <c r="BF97" s="35">
        <f>97</f>
        <v>97</v>
      </c>
      <c r="BH97" s="17">
        <f>G97*AO97</f>
        <v>0</v>
      </c>
      <c r="BI97" s="17">
        <f>G97*AP97</f>
        <v>0</v>
      </c>
      <c r="BJ97" s="17">
        <f>G97*H97</f>
        <v>0</v>
      </c>
    </row>
    <row r="98" spans="3:7" ht="12.75">
      <c r="C98" s="67" t="s">
        <v>7</v>
      </c>
      <c r="D98" s="68"/>
      <c r="E98" s="68"/>
      <c r="G98" s="18">
        <v>1</v>
      </c>
    </row>
    <row r="99" spans="1:62" ht="12.75">
      <c r="A99" s="5" t="s">
        <v>44</v>
      </c>
      <c r="B99" s="5" t="s">
        <v>119</v>
      </c>
      <c r="C99" s="69" t="s">
        <v>226</v>
      </c>
      <c r="D99" s="70"/>
      <c r="E99" s="70"/>
      <c r="F99" s="5" t="s">
        <v>387</v>
      </c>
      <c r="G99" s="17">
        <f>'Stavební rozpočet'!G104</f>
        <v>1</v>
      </c>
      <c r="H99" s="17">
        <f>'Stavební rozpočet'!H104</f>
        <v>0</v>
      </c>
      <c r="I99" s="17">
        <f>G99*AO99</f>
        <v>0</v>
      </c>
      <c r="J99" s="17">
        <f>G99*AP99</f>
        <v>0</v>
      </c>
      <c r="K99" s="17">
        <f>G99*H99</f>
        <v>0</v>
      </c>
      <c r="L99" s="30" t="s">
        <v>407</v>
      </c>
      <c r="Z99" s="35">
        <f>IF(AQ99="5",BJ99,0)</f>
        <v>0</v>
      </c>
      <c r="AB99" s="35">
        <f>IF(AQ99="1",BH99,0)</f>
        <v>0</v>
      </c>
      <c r="AC99" s="35">
        <f>IF(AQ99="1",BI99,0)</f>
        <v>0</v>
      </c>
      <c r="AD99" s="35">
        <f>IF(AQ99="7",BH99,0)</f>
        <v>0</v>
      </c>
      <c r="AE99" s="35">
        <f>IF(AQ99="7",BI99,0)</f>
        <v>0</v>
      </c>
      <c r="AF99" s="35">
        <f>IF(AQ99="2",BH99,0)</f>
        <v>0</v>
      </c>
      <c r="AG99" s="35">
        <f>IF(AQ99="2",BI99,0)</f>
        <v>0</v>
      </c>
      <c r="AH99" s="35">
        <f>IF(AQ99="0",BJ99,0)</f>
        <v>0</v>
      </c>
      <c r="AI99" s="29" t="s">
        <v>418</v>
      </c>
      <c r="AJ99" s="17">
        <f>IF(AN99=0,K99,0)</f>
        <v>0</v>
      </c>
      <c r="AK99" s="17">
        <f>IF(AN99=15,K99,0)</f>
        <v>0</v>
      </c>
      <c r="AL99" s="17">
        <f>IF(AN99=21,K99,0)</f>
        <v>0</v>
      </c>
      <c r="AN99" s="35">
        <v>21</v>
      </c>
      <c r="AO99" s="35">
        <f>H99*0.284815718639059</f>
        <v>0</v>
      </c>
      <c r="AP99" s="35">
        <f>H99*(1-0.284815718639059)</f>
        <v>0</v>
      </c>
      <c r="AQ99" s="30" t="s">
        <v>7</v>
      </c>
      <c r="AV99" s="35">
        <f>AW99+AX99</f>
        <v>0</v>
      </c>
      <c r="AW99" s="35">
        <f>G99*AO99</f>
        <v>0</v>
      </c>
      <c r="AX99" s="35">
        <f>G99*AP99</f>
        <v>0</v>
      </c>
      <c r="AY99" s="36" t="s">
        <v>420</v>
      </c>
      <c r="AZ99" s="36" t="s">
        <v>442</v>
      </c>
      <c r="BA99" s="29" t="s">
        <v>450</v>
      </c>
      <c r="BC99" s="35">
        <f>AW99+AX99</f>
        <v>0</v>
      </c>
      <c r="BD99" s="35">
        <f>H99/(100-BE99)*100</f>
        <v>0</v>
      </c>
      <c r="BE99" s="35">
        <v>0</v>
      </c>
      <c r="BF99" s="35">
        <f>99</f>
        <v>99</v>
      </c>
      <c r="BH99" s="17">
        <f>G99*AO99</f>
        <v>0</v>
      </c>
      <c r="BI99" s="17">
        <f>G99*AP99</f>
        <v>0</v>
      </c>
      <c r="BJ99" s="17">
        <f>G99*H99</f>
        <v>0</v>
      </c>
    </row>
    <row r="100" spans="3:7" ht="12.75">
      <c r="C100" s="67" t="s">
        <v>7</v>
      </c>
      <c r="D100" s="68"/>
      <c r="E100" s="68"/>
      <c r="G100" s="18">
        <v>1</v>
      </c>
    </row>
    <row r="101" spans="1:62" ht="12.75">
      <c r="A101" s="5" t="s">
        <v>45</v>
      </c>
      <c r="B101" s="5" t="s">
        <v>120</v>
      </c>
      <c r="C101" s="69" t="s">
        <v>227</v>
      </c>
      <c r="D101" s="70"/>
      <c r="E101" s="70"/>
      <c r="F101" s="5" t="s">
        <v>387</v>
      </c>
      <c r="G101" s="17">
        <f>'Stavební rozpočet'!G106</f>
        <v>1</v>
      </c>
      <c r="H101" s="17">
        <f>'Stavební rozpočet'!H106</f>
        <v>0</v>
      </c>
      <c r="I101" s="17">
        <f>G101*AO101</f>
        <v>0</v>
      </c>
      <c r="J101" s="17">
        <f>G101*AP101</f>
        <v>0</v>
      </c>
      <c r="K101" s="17">
        <f>G101*H101</f>
        <v>0</v>
      </c>
      <c r="L101" s="30" t="s">
        <v>407</v>
      </c>
      <c r="Z101" s="35">
        <f>IF(AQ101="5",BJ101,0)</f>
        <v>0</v>
      </c>
      <c r="AB101" s="35">
        <f>IF(AQ101="1",BH101,0)</f>
        <v>0</v>
      </c>
      <c r="AC101" s="35">
        <f>IF(AQ101="1",BI101,0)</f>
        <v>0</v>
      </c>
      <c r="AD101" s="35">
        <f>IF(AQ101="7",BH101,0)</f>
        <v>0</v>
      </c>
      <c r="AE101" s="35">
        <f>IF(AQ101="7",BI101,0)</f>
        <v>0</v>
      </c>
      <c r="AF101" s="35">
        <f>IF(AQ101="2",BH101,0)</f>
        <v>0</v>
      </c>
      <c r="AG101" s="35">
        <f>IF(AQ101="2",BI101,0)</f>
        <v>0</v>
      </c>
      <c r="AH101" s="35">
        <f>IF(AQ101="0",BJ101,0)</f>
        <v>0</v>
      </c>
      <c r="AI101" s="29" t="s">
        <v>418</v>
      </c>
      <c r="AJ101" s="17">
        <f>IF(AN101=0,K101,0)</f>
        <v>0</v>
      </c>
      <c r="AK101" s="17">
        <f>IF(AN101=15,K101,0)</f>
        <v>0</v>
      </c>
      <c r="AL101" s="17">
        <f>IF(AN101=21,K101,0)</f>
        <v>0</v>
      </c>
      <c r="AN101" s="35">
        <v>21</v>
      </c>
      <c r="AO101" s="35">
        <f>H101*0.272896857528436</f>
        <v>0</v>
      </c>
      <c r="AP101" s="35">
        <f>H101*(1-0.272896857528436)</f>
        <v>0</v>
      </c>
      <c r="AQ101" s="30" t="s">
        <v>7</v>
      </c>
      <c r="AV101" s="35">
        <f>AW101+AX101</f>
        <v>0</v>
      </c>
      <c r="AW101" s="35">
        <f>G101*AO101</f>
        <v>0</v>
      </c>
      <c r="AX101" s="35">
        <f>G101*AP101</f>
        <v>0</v>
      </c>
      <c r="AY101" s="36" t="s">
        <v>420</v>
      </c>
      <c r="AZ101" s="36" t="s">
        <v>442</v>
      </c>
      <c r="BA101" s="29" t="s">
        <v>450</v>
      </c>
      <c r="BC101" s="35">
        <f>AW101+AX101</f>
        <v>0</v>
      </c>
      <c r="BD101" s="35">
        <f>H101/(100-BE101)*100</f>
        <v>0</v>
      </c>
      <c r="BE101" s="35">
        <v>0</v>
      </c>
      <c r="BF101" s="35">
        <f>101</f>
        <v>101</v>
      </c>
      <c r="BH101" s="17">
        <f>G101*AO101</f>
        <v>0</v>
      </c>
      <c r="BI101" s="17">
        <f>G101*AP101</f>
        <v>0</v>
      </c>
      <c r="BJ101" s="17">
        <f>G101*H101</f>
        <v>0</v>
      </c>
    </row>
    <row r="102" spans="3:7" ht="12.75">
      <c r="C102" s="67" t="s">
        <v>7</v>
      </c>
      <c r="D102" s="68"/>
      <c r="E102" s="68"/>
      <c r="G102" s="18">
        <v>1</v>
      </c>
    </row>
    <row r="103" spans="1:62" ht="12.75">
      <c r="A103" s="5" t="s">
        <v>46</v>
      </c>
      <c r="B103" s="5" t="s">
        <v>121</v>
      </c>
      <c r="C103" s="69" t="s">
        <v>228</v>
      </c>
      <c r="D103" s="70"/>
      <c r="E103" s="70"/>
      <c r="F103" s="5" t="s">
        <v>387</v>
      </c>
      <c r="G103" s="17">
        <f>'Stavební rozpočet'!G108</f>
        <v>1</v>
      </c>
      <c r="H103" s="17">
        <f>'Stavební rozpočet'!H108</f>
        <v>0</v>
      </c>
      <c r="I103" s="17">
        <f>G103*AO103</f>
        <v>0</v>
      </c>
      <c r="J103" s="17">
        <f>G103*AP103</f>
        <v>0</v>
      </c>
      <c r="K103" s="17">
        <f>G103*H103</f>
        <v>0</v>
      </c>
      <c r="L103" s="30" t="s">
        <v>407</v>
      </c>
      <c r="Z103" s="35">
        <f>IF(AQ103="5",BJ103,0)</f>
        <v>0</v>
      </c>
      <c r="AB103" s="35">
        <f>IF(AQ103="1",BH103,0)</f>
        <v>0</v>
      </c>
      <c r="AC103" s="35">
        <f>IF(AQ103="1",BI103,0)</f>
        <v>0</v>
      </c>
      <c r="AD103" s="35">
        <f>IF(AQ103="7",BH103,0)</f>
        <v>0</v>
      </c>
      <c r="AE103" s="35">
        <f>IF(AQ103="7",BI103,0)</f>
        <v>0</v>
      </c>
      <c r="AF103" s="35">
        <f>IF(AQ103="2",BH103,0)</f>
        <v>0</v>
      </c>
      <c r="AG103" s="35">
        <f>IF(AQ103="2",BI103,0)</f>
        <v>0</v>
      </c>
      <c r="AH103" s="35">
        <f>IF(AQ103="0",BJ103,0)</f>
        <v>0</v>
      </c>
      <c r="AI103" s="29" t="s">
        <v>418</v>
      </c>
      <c r="AJ103" s="17">
        <f>IF(AN103=0,K103,0)</f>
        <v>0</v>
      </c>
      <c r="AK103" s="17">
        <f>IF(AN103=15,K103,0)</f>
        <v>0</v>
      </c>
      <c r="AL103" s="17">
        <f>IF(AN103=21,K103,0)</f>
        <v>0</v>
      </c>
      <c r="AN103" s="35">
        <v>21</v>
      </c>
      <c r="AO103" s="35">
        <f>H103*0.252953154492936</f>
        <v>0</v>
      </c>
      <c r="AP103" s="35">
        <f>H103*(1-0.252953154492936)</f>
        <v>0</v>
      </c>
      <c r="AQ103" s="30" t="s">
        <v>7</v>
      </c>
      <c r="AV103" s="35">
        <f>AW103+AX103</f>
        <v>0</v>
      </c>
      <c r="AW103" s="35">
        <f>G103*AO103</f>
        <v>0</v>
      </c>
      <c r="AX103" s="35">
        <f>G103*AP103</f>
        <v>0</v>
      </c>
      <c r="AY103" s="36" t="s">
        <v>420</v>
      </c>
      <c r="AZ103" s="36" t="s">
        <v>442</v>
      </c>
      <c r="BA103" s="29" t="s">
        <v>450</v>
      </c>
      <c r="BC103" s="35">
        <f>AW103+AX103</f>
        <v>0</v>
      </c>
      <c r="BD103" s="35">
        <f>H103/(100-BE103)*100</f>
        <v>0</v>
      </c>
      <c r="BE103" s="35">
        <v>0</v>
      </c>
      <c r="BF103" s="35">
        <f>103</f>
        <v>103</v>
      </c>
      <c r="BH103" s="17">
        <f>G103*AO103</f>
        <v>0</v>
      </c>
      <c r="BI103" s="17">
        <f>G103*AP103</f>
        <v>0</v>
      </c>
      <c r="BJ103" s="17">
        <f>G103*H103</f>
        <v>0</v>
      </c>
    </row>
    <row r="104" spans="3:7" ht="12.75">
      <c r="C104" s="67" t="s">
        <v>7</v>
      </c>
      <c r="D104" s="68"/>
      <c r="E104" s="68"/>
      <c r="G104" s="18">
        <v>1</v>
      </c>
    </row>
    <row r="105" spans="1:62" ht="12.75">
      <c r="A105" s="5" t="s">
        <v>47</v>
      </c>
      <c r="B105" s="5" t="s">
        <v>122</v>
      </c>
      <c r="C105" s="69" t="s">
        <v>229</v>
      </c>
      <c r="D105" s="70"/>
      <c r="E105" s="70"/>
      <c r="F105" s="5" t="s">
        <v>387</v>
      </c>
      <c r="G105" s="17">
        <f>'Stavební rozpočet'!G110</f>
        <v>1</v>
      </c>
      <c r="H105" s="17">
        <f>'Stavební rozpočet'!H110</f>
        <v>0</v>
      </c>
      <c r="I105" s="17">
        <f>G105*AO105</f>
        <v>0</v>
      </c>
      <c r="J105" s="17">
        <f>G105*AP105</f>
        <v>0</v>
      </c>
      <c r="K105" s="17">
        <f>G105*H105</f>
        <v>0</v>
      </c>
      <c r="L105" s="30" t="s">
        <v>407</v>
      </c>
      <c r="Z105" s="35">
        <f>IF(AQ105="5",BJ105,0)</f>
        <v>0</v>
      </c>
      <c r="AB105" s="35">
        <f>IF(AQ105="1",BH105,0)</f>
        <v>0</v>
      </c>
      <c r="AC105" s="35">
        <f>IF(AQ105="1",BI105,0)</f>
        <v>0</v>
      </c>
      <c r="AD105" s="35">
        <f>IF(AQ105="7",BH105,0)</f>
        <v>0</v>
      </c>
      <c r="AE105" s="35">
        <f>IF(AQ105="7",BI105,0)</f>
        <v>0</v>
      </c>
      <c r="AF105" s="35">
        <f>IF(AQ105="2",BH105,0)</f>
        <v>0</v>
      </c>
      <c r="AG105" s="35">
        <f>IF(AQ105="2",BI105,0)</f>
        <v>0</v>
      </c>
      <c r="AH105" s="35">
        <f>IF(AQ105="0",BJ105,0)</f>
        <v>0</v>
      </c>
      <c r="AI105" s="29" t="s">
        <v>418</v>
      </c>
      <c r="AJ105" s="17">
        <f>IF(AN105=0,K105,0)</f>
        <v>0</v>
      </c>
      <c r="AK105" s="17">
        <f>IF(AN105=15,K105,0)</f>
        <v>0</v>
      </c>
      <c r="AL105" s="17">
        <f>IF(AN105=21,K105,0)</f>
        <v>0</v>
      </c>
      <c r="AN105" s="35">
        <v>21</v>
      </c>
      <c r="AO105" s="35">
        <f>H105*0.164038917892739</f>
        <v>0</v>
      </c>
      <c r="AP105" s="35">
        <f>H105*(1-0.164038917892739)</f>
        <v>0</v>
      </c>
      <c r="AQ105" s="30" t="s">
        <v>7</v>
      </c>
      <c r="AV105" s="35">
        <f>AW105+AX105</f>
        <v>0</v>
      </c>
      <c r="AW105" s="35">
        <f>G105*AO105</f>
        <v>0</v>
      </c>
      <c r="AX105" s="35">
        <f>G105*AP105</f>
        <v>0</v>
      </c>
      <c r="AY105" s="36" t="s">
        <v>420</v>
      </c>
      <c r="AZ105" s="36" t="s">
        <v>442</v>
      </c>
      <c r="BA105" s="29" t="s">
        <v>450</v>
      </c>
      <c r="BC105" s="35">
        <f>AW105+AX105</f>
        <v>0</v>
      </c>
      <c r="BD105" s="35">
        <f>H105/(100-BE105)*100</f>
        <v>0</v>
      </c>
      <c r="BE105" s="35">
        <v>0</v>
      </c>
      <c r="BF105" s="35">
        <f>105</f>
        <v>105</v>
      </c>
      <c r="BH105" s="17">
        <f>G105*AO105</f>
        <v>0</v>
      </c>
      <c r="BI105" s="17">
        <f>G105*AP105</f>
        <v>0</v>
      </c>
      <c r="BJ105" s="17">
        <f>G105*H105</f>
        <v>0</v>
      </c>
    </row>
    <row r="106" spans="3:7" ht="12.75">
      <c r="C106" s="67" t="s">
        <v>7</v>
      </c>
      <c r="D106" s="68"/>
      <c r="E106" s="68"/>
      <c r="G106" s="18">
        <v>1</v>
      </c>
    </row>
    <row r="107" spans="1:62" ht="12.75">
      <c r="A107" s="5" t="s">
        <v>48</v>
      </c>
      <c r="B107" s="5" t="s">
        <v>123</v>
      </c>
      <c r="C107" s="69" t="s">
        <v>230</v>
      </c>
      <c r="D107" s="70"/>
      <c r="E107" s="70"/>
      <c r="F107" s="5" t="s">
        <v>388</v>
      </c>
      <c r="G107" s="17">
        <f>'Stavební rozpočet'!G112</f>
        <v>1</v>
      </c>
      <c r="H107" s="17">
        <f>'Stavební rozpočet'!H112</f>
        <v>0</v>
      </c>
      <c r="I107" s="17">
        <f>G107*AO107</f>
        <v>0</v>
      </c>
      <c r="J107" s="17">
        <f>G107*AP107</f>
        <v>0</v>
      </c>
      <c r="K107" s="17">
        <f>G107*H107</f>
        <v>0</v>
      </c>
      <c r="L107" s="30" t="s">
        <v>407</v>
      </c>
      <c r="Z107" s="35">
        <f>IF(AQ107="5",BJ107,0)</f>
        <v>0</v>
      </c>
      <c r="AB107" s="35">
        <f>IF(AQ107="1",BH107,0)</f>
        <v>0</v>
      </c>
      <c r="AC107" s="35">
        <f>IF(AQ107="1",BI107,0)</f>
        <v>0</v>
      </c>
      <c r="AD107" s="35">
        <f>IF(AQ107="7",BH107,0)</f>
        <v>0</v>
      </c>
      <c r="AE107" s="35">
        <f>IF(AQ107="7",BI107,0)</f>
        <v>0</v>
      </c>
      <c r="AF107" s="35">
        <f>IF(AQ107="2",BH107,0)</f>
        <v>0</v>
      </c>
      <c r="AG107" s="35">
        <f>IF(AQ107="2",BI107,0)</f>
        <v>0</v>
      </c>
      <c r="AH107" s="35">
        <f>IF(AQ107="0",BJ107,0)</f>
        <v>0</v>
      </c>
      <c r="AI107" s="29" t="s">
        <v>418</v>
      </c>
      <c r="AJ107" s="17">
        <f>IF(AN107=0,K107,0)</f>
        <v>0</v>
      </c>
      <c r="AK107" s="17">
        <f>IF(AN107=15,K107,0)</f>
        <v>0</v>
      </c>
      <c r="AL107" s="17">
        <f>IF(AN107=21,K107,0)</f>
        <v>0</v>
      </c>
      <c r="AN107" s="35">
        <v>21</v>
      </c>
      <c r="AO107" s="35">
        <f>H107*0.141315416666667</f>
        <v>0</v>
      </c>
      <c r="AP107" s="35">
        <f>H107*(1-0.141315416666667)</f>
        <v>0</v>
      </c>
      <c r="AQ107" s="30" t="s">
        <v>7</v>
      </c>
      <c r="AV107" s="35">
        <f>AW107+AX107</f>
        <v>0</v>
      </c>
      <c r="AW107" s="35">
        <f>G107*AO107</f>
        <v>0</v>
      </c>
      <c r="AX107" s="35">
        <f>G107*AP107</f>
        <v>0</v>
      </c>
      <c r="AY107" s="36" t="s">
        <v>420</v>
      </c>
      <c r="AZ107" s="36" t="s">
        <v>442</v>
      </c>
      <c r="BA107" s="29" t="s">
        <v>450</v>
      </c>
      <c r="BC107" s="35">
        <f>AW107+AX107</f>
        <v>0</v>
      </c>
      <c r="BD107" s="35">
        <f>H107/(100-BE107)*100</f>
        <v>0</v>
      </c>
      <c r="BE107" s="35">
        <v>0</v>
      </c>
      <c r="BF107" s="35">
        <f>107</f>
        <v>107</v>
      </c>
      <c r="BH107" s="17">
        <f>G107*AO107</f>
        <v>0</v>
      </c>
      <c r="BI107" s="17">
        <f>G107*AP107</f>
        <v>0</v>
      </c>
      <c r="BJ107" s="17">
        <f>G107*H107</f>
        <v>0</v>
      </c>
    </row>
    <row r="108" spans="3:7" ht="12.75">
      <c r="C108" s="67" t="s">
        <v>7</v>
      </c>
      <c r="D108" s="68"/>
      <c r="E108" s="68"/>
      <c r="G108" s="18">
        <v>1</v>
      </c>
    </row>
    <row r="109" spans="1:47" ht="12.75">
      <c r="A109" s="4"/>
      <c r="B109" s="14" t="s">
        <v>458</v>
      </c>
      <c r="C109" s="75" t="s">
        <v>463</v>
      </c>
      <c r="D109" s="76"/>
      <c r="E109" s="76"/>
      <c r="F109" s="4" t="s">
        <v>6</v>
      </c>
      <c r="G109" s="4" t="s">
        <v>6</v>
      </c>
      <c r="H109" s="4" t="s">
        <v>6</v>
      </c>
      <c r="I109" s="38">
        <f>SUM(I110:I110)</f>
        <v>0</v>
      </c>
      <c r="J109" s="38">
        <f>SUM(J110:J110)</f>
        <v>0</v>
      </c>
      <c r="K109" s="38">
        <f>SUM(K110:K110)</f>
        <v>0</v>
      </c>
      <c r="L109" s="29"/>
      <c r="AI109" s="29" t="s">
        <v>418</v>
      </c>
      <c r="AS109" s="38">
        <f>SUM(AJ110:AJ110)</f>
        <v>0</v>
      </c>
      <c r="AT109" s="38">
        <f>SUM(AK110:AK110)</f>
        <v>0</v>
      </c>
      <c r="AU109" s="38">
        <f>SUM(AL110:AL110)</f>
        <v>0</v>
      </c>
    </row>
    <row r="110" spans="1:62" ht="12.75">
      <c r="A110" s="5" t="s">
        <v>49</v>
      </c>
      <c r="B110" s="5" t="s">
        <v>125</v>
      </c>
      <c r="C110" s="69" t="s">
        <v>232</v>
      </c>
      <c r="D110" s="70"/>
      <c r="E110" s="70"/>
      <c r="F110" s="5" t="s">
        <v>388</v>
      </c>
      <c r="G110" s="17">
        <f>'Stavební rozpočet'!G115</f>
        <v>1</v>
      </c>
      <c r="H110" s="17">
        <f>'Stavební rozpočet'!H115</f>
        <v>0</v>
      </c>
      <c r="I110" s="17">
        <f>G110*AO110</f>
        <v>0</v>
      </c>
      <c r="J110" s="17">
        <f>G110*AP110</f>
        <v>0</v>
      </c>
      <c r="K110" s="17">
        <f>G110*H110</f>
        <v>0</v>
      </c>
      <c r="L110" s="30" t="s">
        <v>407</v>
      </c>
      <c r="Z110" s="35">
        <f>IF(AQ110="5",BJ110,0)</f>
        <v>0</v>
      </c>
      <c r="AB110" s="35">
        <f>IF(AQ110="1",BH110,0)</f>
        <v>0</v>
      </c>
      <c r="AC110" s="35">
        <f>IF(AQ110="1",BI110,0)</f>
        <v>0</v>
      </c>
      <c r="AD110" s="35">
        <f>IF(AQ110="7",BH110,0)</f>
        <v>0</v>
      </c>
      <c r="AE110" s="35">
        <f>IF(AQ110="7",BI110,0)</f>
        <v>0</v>
      </c>
      <c r="AF110" s="35">
        <f>IF(AQ110="2",BH110,0)</f>
        <v>0</v>
      </c>
      <c r="AG110" s="35">
        <f>IF(AQ110="2",BI110,0)</f>
        <v>0</v>
      </c>
      <c r="AH110" s="35">
        <f>IF(AQ110="0",BJ110,0)</f>
        <v>0</v>
      </c>
      <c r="AI110" s="29" t="s">
        <v>418</v>
      </c>
      <c r="AJ110" s="17">
        <f>IF(AN110=0,K110,0)</f>
        <v>0</v>
      </c>
      <c r="AK110" s="17">
        <f>IF(AN110=15,K110,0)</f>
        <v>0</v>
      </c>
      <c r="AL110" s="17">
        <f>IF(AN110=21,K110,0)</f>
        <v>0</v>
      </c>
      <c r="AN110" s="35">
        <v>21</v>
      </c>
      <c r="AO110" s="35">
        <f>H110*0.75332347826087</f>
        <v>0</v>
      </c>
      <c r="AP110" s="35">
        <f>H110*(1-0.75332347826087)</f>
        <v>0</v>
      </c>
      <c r="AQ110" s="30" t="s">
        <v>13</v>
      </c>
      <c r="AV110" s="35">
        <f>AW110+AX110</f>
        <v>0</v>
      </c>
      <c r="AW110" s="35">
        <f>G110*AO110</f>
        <v>0</v>
      </c>
      <c r="AX110" s="35">
        <f>G110*AP110</f>
        <v>0</v>
      </c>
      <c r="AY110" s="36" t="s">
        <v>431</v>
      </c>
      <c r="AZ110" s="36" t="s">
        <v>443</v>
      </c>
      <c r="BA110" s="29" t="s">
        <v>450</v>
      </c>
      <c r="BC110" s="35">
        <f>AW110+AX110</f>
        <v>0</v>
      </c>
      <c r="BD110" s="35">
        <f>H110/(100-BE110)*100</f>
        <v>0</v>
      </c>
      <c r="BE110" s="35">
        <v>0</v>
      </c>
      <c r="BF110" s="35">
        <f>110</f>
        <v>110</v>
      </c>
      <c r="BH110" s="17">
        <f>G110*AO110</f>
        <v>0</v>
      </c>
      <c r="BI110" s="17">
        <f>G110*AP110</f>
        <v>0</v>
      </c>
      <c r="BJ110" s="17">
        <f>G110*H110</f>
        <v>0</v>
      </c>
    </row>
    <row r="111" spans="3:7" ht="12.75">
      <c r="C111" s="67" t="s">
        <v>7</v>
      </c>
      <c r="D111" s="68"/>
      <c r="E111" s="68"/>
      <c r="G111" s="18">
        <v>1</v>
      </c>
    </row>
    <row r="112" spans="1:47" ht="12.75">
      <c r="A112" s="4"/>
      <c r="B112" s="14" t="s">
        <v>15</v>
      </c>
      <c r="C112" s="75" t="s">
        <v>464</v>
      </c>
      <c r="D112" s="76"/>
      <c r="E112" s="76"/>
      <c r="F112" s="4" t="s">
        <v>6</v>
      </c>
      <c r="G112" s="4" t="s">
        <v>6</v>
      </c>
      <c r="H112" s="4" t="s">
        <v>6</v>
      </c>
      <c r="I112" s="38">
        <f>SUM(I113:I115)</f>
        <v>0</v>
      </c>
      <c r="J112" s="38">
        <f>SUM(J113:J115)</f>
        <v>150000</v>
      </c>
      <c r="K112" s="38">
        <f>SUM(K113:K115)</f>
        <v>150000</v>
      </c>
      <c r="L112" s="29"/>
      <c r="AI112" s="29" t="s">
        <v>418</v>
      </c>
      <c r="AS112" s="38">
        <f>SUM(AJ113:AJ115)</f>
        <v>0</v>
      </c>
      <c r="AT112" s="38">
        <f>SUM(AK113:AK115)</f>
        <v>0</v>
      </c>
      <c r="AU112" s="38">
        <f>SUM(AL113:AL115)</f>
        <v>150000</v>
      </c>
    </row>
    <row r="113" spans="1:62" ht="12.75">
      <c r="A113" s="5" t="s">
        <v>50</v>
      </c>
      <c r="B113" s="5" t="s">
        <v>127</v>
      </c>
      <c r="C113" s="69" t="s">
        <v>234</v>
      </c>
      <c r="D113" s="70"/>
      <c r="E113" s="70"/>
      <c r="F113" s="5" t="s">
        <v>386</v>
      </c>
      <c r="G113" s="17">
        <f>'Stavební rozpočet'!G118</f>
        <v>150</v>
      </c>
      <c r="H113" s="17">
        <f>'Stavební rozpočet'!H118</f>
        <v>0</v>
      </c>
      <c r="I113" s="17">
        <f>G113*AO113</f>
        <v>0</v>
      </c>
      <c r="J113" s="17">
        <f>G113*AP113</f>
        <v>0</v>
      </c>
      <c r="K113" s="17">
        <f>G113*H113</f>
        <v>0</v>
      </c>
      <c r="L113" s="30" t="s">
        <v>407</v>
      </c>
      <c r="Z113" s="35">
        <f>IF(AQ113="5",BJ113,0)</f>
        <v>0</v>
      </c>
      <c r="AB113" s="35">
        <f>IF(AQ113="1",BH113,0)</f>
        <v>0</v>
      </c>
      <c r="AC113" s="35">
        <f>IF(AQ113="1",BI113,0)</f>
        <v>0</v>
      </c>
      <c r="AD113" s="35">
        <f>IF(AQ113="7",BH113,0)</f>
        <v>0</v>
      </c>
      <c r="AE113" s="35">
        <f>IF(AQ113="7",BI113,0)</f>
        <v>0</v>
      </c>
      <c r="AF113" s="35">
        <f>IF(AQ113="2",BH113,0)</f>
        <v>0</v>
      </c>
      <c r="AG113" s="35">
        <f>IF(AQ113="2",BI113,0)</f>
        <v>0</v>
      </c>
      <c r="AH113" s="35">
        <f>IF(AQ113="0",BJ113,0)</f>
        <v>0</v>
      </c>
      <c r="AI113" s="29" t="s">
        <v>418</v>
      </c>
      <c r="AJ113" s="17">
        <f>IF(AN113=0,K113,0)</f>
        <v>0</v>
      </c>
      <c r="AK113" s="17">
        <f>IF(AN113=15,K113,0)</f>
        <v>0</v>
      </c>
      <c r="AL113" s="17">
        <f>IF(AN113=21,K113,0)</f>
        <v>0</v>
      </c>
      <c r="AN113" s="35">
        <v>21</v>
      </c>
      <c r="AO113" s="35">
        <f>H113*0.413387978142077</f>
        <v>0</v>
      </c>
      <c r="AP113" s="35">
        <f>H113*(1-0.413387978142077)</f>
        <v>0</v>
      </c>
      <c r="AQ113" s="30" t="s">
        <v>8</v>
      </c>
      <c r="AV113" s="35">
        <f>AW113+AX113</f>
        <v>0</v>
      </c>
      <c r="AW113" s="35">
        <f>G113*AO113</f>
        <v>0</v>
      </c>
      <c r="AX113" s="35">
        <f>G113*AP113</f>
        <v>0</v>
      </c>
      <c r="AY113" s="36" t="s">
        <v>432</v>
      </c>
      <c r="AZ113" s="36" t="s">
        <v>444</v>
      </c>
      <c r="BA113" s="29" t="s">
        <v>450</v>
      </c>
      <c r="BC113" s="35">
        <f>AW113+AX113</f>
        <v>0</v>
      </c>
      <c r="BD113" s="35">
        <f>H113/(100-BE113)*100</f>
        <v>0</v>
      </c>
      <c r="BE113" s="35">
        <v>0</v>
      </c>
      <c r="BF113" s="35">
        <f>113</f>
        <v>113</v>
      </c>
      <c r="BH113" s="17">
        <f>G113*AO113</f>
        <v>0</v>
      </c>
      <c r="BI113" s="17">
        <f>G113*AP113</f>
        <v>0</v>
      </c>
      <c r="BJ113" s="17">
        <f>G113*H113</f>
        <v>0</v>
      </c>
    </row>
    <row r="114" spans="3:7" ht="12.75">
      <c r="C114" s="67" t="s">
        <v>235</v>
      </c>
      <c r="D114" s="68"/>
      <c r="E114" s="68"/>
      <c r="G114" s="18">
        <v>150</v>
      </c>
    </row>
    <row r="115" spans="1:62" ht="12.75">
      <c r="A115" s="5" t="s">
        <v>51</v>
      </c>
      <c r="B115" s="5" t="s">
        <v>128</v>
      </c>
      <c r="C115" s="69" t="s">
        <v>236</v>
      </c>
      <c r="D115" s="70"/>
      <c r="E115" s="70"/>
      <c r="F115" s="5" t="s">
        <v>387</v>
      </c>
      <c r="G115" s="17">
        <f>'Stavební rozpočet'!G120</f>
        <v>1</v>
      </c>
      <c r="H115" s="17">
        <f>'Stavební rozpočet'!H120</f>
        <v>150000</v>
      </c>
      <c r="I115" s="17">
        <f>G115*AO115</f>
        <v>0</v>
      </c>
      <c r="J115" s="17">
        <f>G115*AP115</f>
        <v>150000</v>
      </c>
      <c r="K115" s="17">
        <f>G115*H115</f>
        <v>150000</v>
      </c>
      <c r="L115" s="30" t="s">
        <v>407</v>
      </c>
      <c r="Z115" s="35">
        <f>IF(AQ115="5",BJ115,0)</f>
        <v>0</v>
      </c>
      <c r="AB115" s="35">
        <f>IF(AQ115="1",BH115,0)</f>
        <v>0</v>
      </c>
      <c r="AC115" s="35">
        <f>IF(AQ115="1",BI115,0)</f>
        <v>0</v>
      </c>
      <c r="AD115" s="35">
        <f>IF(AQ115="7",BH115,0)</f>
        <v>0</v>
      </c>
      <c r="AE115" s="35">
        <f>IF(AQ115="7",BI115,0)</f>
        <v>0</v>
      </c>
      <c r="AF115" s="35">
        <f>IF(AQ115="2",BH115,0)</f>
        <v>0</v>
      </c>
      <c r="AG115" s="35">
        <f>IF(AQ115="2",BI115,0)</f>
        <v>150000</v>
      </c>
      <c r="AH115" s="35">
        <f>IF(AQ115="0",BJ115,0)</f>
        <v>0</v>
      </c>
      <c r="AI115" s="29" t="s">
        <v>418</v>
      </c>
      <c r="AJ115" s="17">
        <f>IF(AN115=0,K115,0)</f>
        <v>0</v>
      </c>
      <c r="AK115" s="17">
        <f>IF(AN115=15,K115,0)</f>
        <v>0</v>
      </c>
      <c r="AL115" s="17">
        <f>IF(AN115=21,K115,0)</f>
        <v>150000</v>
      </c>
      <c r="AN115" s="35">
        <v>21</v>
      </c>
      <c r="AO115" s="35">
        <f>H115*0</f>
        <v>0</v>
      </c>
      <c r="AP115" s="35">
        <f>H115*(1-0)</f>
        <v>150000</v>
      </c>
      <c r="AQ115" s="30" t="s">
        <v>8</v>
      </c>
      <c r="AV115" s="35">
        <f>AW115+AX115</f>
        <v>150000</v>
      </c>
      <c r="AW115" s="35">
        <f>G115*AO115</f>
        <v>0</v>
      </c>
      <c r="AX115" s="35">
        <f>G115*AP115</f>
        <v>150000</v>
      </c>
      <c r="AY115" s="36" t="s">
        <v>432</v>
      </c>
      <c r="AZ115" s="36" t="s">
        <v>444</v>
      </c>
      <c r="BA115" s="29" t="s">
        <v>450</v>
      </c>
      <c r="BC115" s="35">
        <f>AW115+AX115</f>
        <v>150000</v>
      </c>
      <c r="BD115" s="35">
        <f>H115/(100-BE115)*100</f>
        <v>150000</v>
      </c>
      <c r="BE115" s="35">
        <v>0</v>
      </c>
      <c r="BF115" s="35">
        <f>115</f>
        <v>115</v>
      </c>
      <c r="BH115" s="17">
        <f>G115*AO115</f>
        <v>0</v>
      </c>
      <c r="BI115" s="17">
        <f>G115*AP115</f>
        <v>150000</v>
      </c>
      <c r="BJ115" s="17">
        <f>G115*H115</f>
        <v>150000</v>
      </c>
    </row>
    <row r="116" spans="3:7" ht="12.75">
      <c r="C116" s="67" t="s">
        <v>237</v>
      </c>
      <c r="D116" s="68"/>
      <c r="E116" s="68"/>
      <c r="G116" s="18">
        <v>1</v>
      </c>
    </row>
    <row r="117" spans="1:12" ht="12.75">
      <c r="A117" s="7"/>
      <c r="B117" s="15"/>
      <c r="C117" s="77" t="s">
        <v>238</v>
      </c>
      <c r="D117" s="78"/>
      <c r="E117" s="78"/>
      <c r="F117" s="7" t="s">
        <v>6</v>
      </c>
      <c r="G117" s="7" t="s">
        <v>6</v>
      </c>
      <c r="H117" s="7" t="s">
        <v>6</v>
      </c>
      <c r="I117" s="39">
        <f>I118+I253+I256+I269</f>
        <v>0</v>
      </c>
      <c r="J117" s="39">
        <f>J118+J253+J256+J269</f>
        <v>0</v>
      </c>
      <c r="K117" s="39">
        <f>K118+K253+K256+K269</f>
        <v>0</v>
      </c>
      <c r="L117" s="32"/>
    </row>
    <row r="118" spans="1:47" ht="12.75">
      <c r="A118" s="4"/>
      <c r="B118" s="14" t="s">
        <v>12</v>
      </c>
      <c r="C118" s="75" t="s">
        <v>460</v>
      </c>
      <c r="D118" s="76"/>
      <c r="E118" s="76"/>
      <c r="F118" s="4" t="s">
        <v>6</v>
      </c>
      <c r="G118" s="4" t="s">
        <v>6</v>
      </c>
      <c r="H118" s="4" t="s">
        <v>6</v>
      </c>
      <c r="I118" s="38">
        <f>SUM(I119:I245)</f>
        <v>0</v>
      </c>
      <c r="J118" s="38">
        <f>SUM(J119:J245)</f>
        <v>0</v>
      </c>
      <c r="K118" s="38">
        <f>SUM(K119:K245)</f>
        <v>0</v>
      </c>
      <c r="L118" s="29"/>
      <c r="AI118" s="29" t="s">
        <v>419</v>
      </c>
      <c r="AS118" s="38">
        <f>SUM(AJ119:AJ245)</f>
        <v>0</v>
      </c>
      <c r="AT118" s="38">
        <f>SUM(AK119:AK245)</f>
        <v>0</v>
      </c>
      <c r="AU118" s="38">
        <f>SUM(AL119:AL245)</f>
        <v>0</v>
      </c>
    </row>
    <row r="119" spans="1:62" ht="12.75">
      <c r="A119" s="5" t="s">
        <v>52</v>
      </c>
      <c r="B119" s="5" t="s">
        <v>129</v>
      </c>
      <c r="C119" s="69" t="s">
        <v>240</v>
      </c>
      <c r="D119" s="70"/>
      <c r="E119" s="70"/>
      <c r="F119" s="5" t="s">
        <v>384</v>
      </c>
      <c r="G119" s="17">
        <f>'Stavební rozpočet'!G124</f>
        <v>259.37978</v>
      </c>
      <c r="H119" s="17">
        <f>'Stavební rozpočet'!H124</f>
        <v>0</v>
      </c>
      <c r="I119" s="17">
        <f>G119*AO119</f>
        <v>0</v>
      </c>
      <c r="J119" s="17">
        <f>G119*AP119</f>
        <v>0</v>
      </c>
      <c r="K119" s="17">
        <f>G119*H119</f>
        <v>0</v>
      </c>
      <c r="L119" s="30" t="s">
        <v>407</v>
      </c>
      <c r="Z119" s="35">
        <f>IF(AQ119="5",BJ119,0)</f>
        <v>0</v>
      </c>
      <c r="AB119" s="35">
        <f>IF(AQ119="1",BH119,0)</f>
        <v>0</v>
      </c>
      <c r="AC119" s="35">
        <f>IF(AQ119="1",BI119,0)</f>
        <v>0</v>
      </c>
      <c r="AD119" s="35">
        <f>IF(AQ119="7",BH119,0)</f>
        <v>0</v>
      </c>
      <c r="AE119" s="35">
        <f>IF(AQ119="7",BI119,0)</f>
        <v>0</v>
      </c>
      <c r="AF119" s="35">
        <f>IF(AQ119="2",BH119,0)</f>
        <v>0</v>
      </c>
      <c r="AG119" s="35">
        <f>IF(AQ119="2",BI119,0)</f>
        <v>0</v>
      </c>
      <c r="AH119" s="35">
        <f>IF(AQ119="0",BJ119,0)</f>
        <v>0</v>
      </c>
      <c r="AI119" s="29" t="s">
        <v>419</v>
      </c>
      <c r="AJ119" s="17">
        <f>IF(AN119=0,K119,0)</f>
        <v>0</v>
      </c>
      <c r="AK119" s="17">
        <f>IF(AN119=15,K119,0)</f>
        <v>0</v>
      </c>
      <c r="AL119" s="17">
        <f>IF(AN119=21,K119,0)</f>
        <v>0</v>
      </c>
      <c r="AN119" s="35">
        <v>21</v>
      </c>
      <c r="AO119" s="35">
        <f>H119*0.328027883766105</f>
        <v>0</v>
      </c>
      <c r="AP119" s="35">
        <f>H119*(1-0.328027883766105)</f>
        <v>0</v>
      </c>
      <c r="AQ119" s="30" t="s">
        <v>7</v>
      </c>
      <c r="AV119" s="35">
        <f>AW119+AX119</f>
        <v>0</v>
      </c>
      <c r="AW119" s="35">
        <f>G119*AO119</f>
        <v>0</v>
      </c>
      <c r="AX119" s="35">
        <f>G119*AP119</f>
        <v>0</v>
      </c>
      <c r="AY119" s="36" t="s">
        <v>433</v>
      </c>
      <c r="AZ119" s="36" t="s">
        <v>445</v>
      </c>
      <c r="BA119" s="29" t="s">
        <v>451</v>
      </c>
      <c r="BC119" s="35">
        <f>AW119+AX119</f>
        <v>0</v>
      </c>
      <c r="BD119" s="35">
        <f>H119/(100-BE119)*100</f>
        <v>0</v>
      </c>
      <c r="BE119" s="35">
        <v>0</v>
      </c>
      <c r="BF119" s="35">
        <f>119</f>
        <v>119</v>
      </c>
      <c r="BH119" s="17">
        <f>G119*AO119</f>
        <v>0</v>
      </c>
      <c r="BI119" s="17">
        <f>G119*AP119</f>
        <v>0</v>
      </c>
      <c r="BJ119" s="17">
        <f>G119*H119</f>
        <v>0</v>
      </c>
    </row>
    <row r="120" spans="3:7" ht="12.75">
      <c r="C120" s="67" t="s">
        <v>241</v>
      </c>
      <c r="D120" s="68"/>
      <c r="E120" s="68"/>
      <c r="G120" s="18">
        <v>231.84</v>
      </c>
    </row>
    <row r="121" spans="3:7" ht="12.75">
      <c r="C121" s="67" t="s">
        <v>242</v>
      </c>
      <c r="D121" s="68"/>
      <c r="E121" s="68"/>
      <c r="G121" s="18">
        <v>0.468</v>
      </c>
    </row>
    <row r="122" spans="3:7" ht="12.75">
      <c r="C122" s="67" t="s">
        <v>243</v>
      </c>
      <c r="D122" s="68"/>
      <c r="E122" s="68"/>
      <c r="G122" s="18">
        <v>0.726</v>
      </c>
    </row>
    <row r="123" spans="3:7" ht="12.75">
      <c r="C123" s="67" t="s">
        <v>244</v>
      </c>
      <c r="D123" s="68"/>
      <c r="E123" s="68"/>
      <c r="G123" s="18">
        <v>0.3</v>
      </c>
    </row>
    <row r="124" spans="3:7" ht="12.75">
      <c r="C124" s="67" t="s">
        <v>245</v>
      </c>
      <c r="D124" s="68"/>
      <c r="E124" s="68"/>
      <c r="G124" s="18">
        <v>2.525</v>
      </c>
    </row>
    <row r="125" spans="3:7" ht="12.75">
      <c r="C125" s="67" t="s">
        <v>246</v>
      </c>
      <c r="D125" s="68"/>
      <c r="E125" s="68"/>
      <c r="G125" s="18">
        <v>0.7828</v>
      </c>
    </row>
    <row r="126" spans="3:7" ht="12.75">
      <c r="C126" s="67" t="s">
        <v>247</v>
      </c>
      <c r="D126" s="68"/>
      <c r="E126" s="68"/>
      <c r="G126" s="18">
        <v>13.398</v>
      </c>
    </row>
    <row r="127" spans="3:7" ht="12.75">
      <c r="C127" s="67" t="s">
        <v>248</v>
      </c>
      <c r="D127" s="68"/>
      <c r="E127" s="68"/>
      <c r="G127" s="18">
        <v>2.0984</v>
      </c>
    </row>
    <row r="128" spans="3:7" ht="12.75">
      <c r="C128" s="67" t="s">
        <v>249</v>
      </c>
      <c r="D128" s="68"/>
      <c r="E128" s="68"/>
      <c r="G128" s="18">
        <v>3.87618</v>
      </c>
    </row>
    <row r="129" spans="3:7" ht="12.75">
      <c r="C129" s="67" t="s">
        <v>250</v>
      </c>
      <c r="D129" s="68"/>
      <c r="E129" s="68"/>
      <c r="G129" s="18">
        <v>3.3654</v>
      </c>
    </row>
    <row r="130" spans="1:62" ht="12.75">
      <c r="A130" s="5" t="s">
        <v>53</v>
      </c>
      <c r="B130" s="5" t="s">
        <v>130</v>
      </c>
      <c r="C130" s="69" t="s">
        <v>251</v>
      </c>
      <c r="D130" s="70"/>
      <c r="E130" s="70"/>
      <c r="F130" s="5" t="s">
        <v>384</v>
      </c>
      <c r="G130" s="17">
        <f>'Stavební rozpočet'!G135</f>
        <v>3437.0286</v>
      </c>
      <c r="H130" s="17">
        <f>'Stavební rozpočet'!H135</f>
        <v>0</v>
      </c>
      <c r="I130" s="17">
        <f>G130*AO130</f>
        <v>0</v>
      </c>
      <c r="J130" s="17">
        <f>G130*AP130</f>
        <v>0</v>
      </c>
      <c r="K130" s="17">
        <f>G130*H130</f>
        <v>0</v>
      </c>
      <c r="L130" s="30" t="s">
        <v>407</v>
      </c>
      <c r="Z130" s="35">
        <f>IF(AQ130="5",BJ130,0)</f>
        <v>0</v>
      </c>
      <c r="AB130" s="35">
        <f>IF(AQ130="1",BH130,0)</f>
        <v>0</v>
      </c>
      <c r="AC130" s="35">
        <f>IF(AQ130="1",BI130,0)</f>
        <v>0</v>
      </c>
      <c r="AD130" s="35">
        <f>IF(AQ130="7",BH130,0)</f>
        <v>0</v>
      </c>
      <c r="AE130" s="35">
        <f>IF(AQ130="7",BI130,0)</f>
        <v>0</v>
      </c>
      <c r="AF130" s="35">
        <f>IF(AQ130="2",BH130,0)</f>
        <v>0</v>
      </c>
      <c r="AG130" s="35">
        <f>IF(AQ130="2",BI130,0)</f>
        <v>0</v>
      </c>
      <c r="AH130" s="35">
        <f>IF(AQ130="0",BJ130,0)</f>
        <v>0</v>
      </c>
      <c r="AI130" s="29" t="s">
        <v>419</v>
      </c>
      <c r="AJ130" s="17">
        <f>IF(AN130=0,K130,0)</f>
        <v>0</v>
      </c>
      <c r="AK130" s="17">
        <f>IF(AN130=15,K130,0)</f>
        <v>0</v>
      </c>
      <c r="AL130" s="17">
        <f>IF(AN130=21,K130,0)</f>
        <v>0</v>
      </c>
      <c r="AN130" s="35">
        <v>21</v>
      </c>
      <c r="AO130" s="35">
        <f>H130*0.0643153521225212</f>
        <v>0</v>
      </c>
      <c r="AP130" s="35">
        <f>H130*(1-0.0643153521225212)</f>
        <v>0</v>
      </c>
      <c r="AQ130" s="30" t="s">
        <v>7</v>
      </c>
      <c r="AV130" s="35">
        <f>AW130+AX130</f>
        <v>0</v>
      </c>
      <c r="AW130" s="35">
        <f>G130*AO130</f>
        <v>0</v>
      </c>
      <c r="AX130" s="35">
        <f>G130*AP130</f>
        <v>0</v>
      </c>
      <c r="AY130" s="36" t="s">
        <v>433</v>
      </c>
      <c r="AZ130" s="36" t="s">
        <v>445</v>
      </c>
      <c r="BA130" s="29" t="s">
        <v>451</v>
      </c>
      <c r="BC130" s="35">
        <f>AW130+AX130</f>
        <v>0</v>
      </c>
      <c r="BD130" s="35">
        <f>H130/(100-BE130)*100</f>
        <v>0</v>
      </c>
      <c r="BE130" s="35">
        <v>0</v>
      </c>
      <c r="BF130" s="35">
        <f>130</f>
        <v>130</v>
      </c>
      <c r="BH130" s="17">
        <f>G130*AO130</f>
        <v>0</v>
      </c>
      <c r="BI130" s="17">
        <f>G130*AP130</f>
        <v>0</v>
      </c>
      <c r="BJ130" s="17">
        <f>G130*H130</f>
        <v>0</v>
      </c>
    </row>
    <row r="131" spans="3:7" ht="12.75">
      <c r="C131" s="67" t="s">
        <v>252</v>
      </c>
      <c r="D131" s="68"/>
      <c r="E131" s="68"/>
      <c r="G131" s="18">
        <v>42.896</v>
      </c>
    </row>
    <row r="132" spans="3:7" ht="12.75">
      <c r="C132" s="67" t="s">
        <v>253</v>
      </c>
      <c r="D132" s="68"/>
      <c r="E132" s="68"/>
      <c r="G132" s="18">
        <v>47.152</v>
      </c>
    </row>
    <row r="133" spans="3:7" ht="12.75">
      <c r="C133" s="67" t="s">
        <v>254</v>
      </c>
      <c r="D133" s="68"/>
      <c r="E133" s="68"/>
      <c r="G133" s="18">
        <v>37.48</v>
      </c>
    </row>
    <row r="134" spans="3:7" ht="12.75">
      <c r="C134" s="67" t="s">
        <v>255</v>
      </c>
      <c r="D134" s="68"/>
      <c r="E134" s="68"/>
      <c r="G134" s="18">
        <v>27.28</v>
      </c>
    </row>
    <row r="135" spans="3:7" ht="12.75">
      <c r="C135" s="67" t="s">
        <v>256</v>
      </c>
      <c r="D135" s="68"/>
      <c r="E135" s="68"/>
      <c r="G135" s="18">
        <v>33.18</v>
      </c>
    </row>
    <row r="136" spans="3:7" ht="12.75">
      <c r="C136" s="67" t="s">
        <v>257</v>
      </c>
      <c r="D136" s="68"/>
      <c r="E136" s="68"/>
      <c r="G136" s="18">
        <v>-10.2904</v>
      </c>
    </row>
    <row r="137" spans="3:7" ht="12.75">
      <c r="C137" s="67" t="s">
        <v>258</v>
      </c>
      <c r="D137" s="68"/>
      <c r="E137" s="68"/>
      <c r="G137" s="18">
        <v>110.304</v>
      </c>
    </row>
    <row r="138" spans="3:7" ht="12.75">
      <c r="C138" s="67" t="s">
        <v>259</v>
      </c>
      <c r="D138" s="68"/>
      <c r="E138" s="68"/>
      <c r="G138" s="18">
        <v>-12.735</v>
      </c>
    </row>
    <row r="139" spans="3:7" ht="12.75">
      <c r="C139" s="67" t="s">
        <v>260</v>
      </c>
      <c r="D139" s="68"/>
      <c r="E139" s="68"/>
      <c r="G139" s="18">
        <v>91.872</v>
      </c>
    </row>
    <row r="140" spans="3:7" ht="12.75">
      <c r="C140" s="67" t="s">
        <v>261</v>
      </c>
      <c r="D140" s="68"/>
      <c r="E140" s="68"/>
      <c r="G140" s="18">
        <v>0</v>
      </c>
    </row>
    <row r="141" spans="3:7" ht="12.75">
      <c r="C141" s="67" t="s">
        <v>262</v>
      </c>
      <c r="D141" s="68"/>
      <c r="E141" s="68"/>
      <c r="G141" s="18">
        <v>50.904</v>
      </c>
    </row>
    <row r="142" spans="3:7" ht="12.75">
      <c r="C142" s="67" t="s">
        <v>263</v>
      </c>
      <c r="D142" s="68"/>
      <c r="E142" s="68"/>
      <c r="G142" s="18">
        <v>-1.8</v>
      </c>
    </row>
    <row r="143" spans="3:7" ht="12.75">
      <c r="C143" s="67" t="s">
        <v>264</v>
      </c>
      <c r="D143" s="68"/>
      <c r="E143" s="68"/>
      <c r="G143" s="18">
        <v>49.032</v>
      </c>
    </row>
    <row r="144" spans="3:7" ht="12.75">
      <c r="C144" s="67" t="s">
        <v>265</v>
      </c>
      <c r="D144" s="68"/>
      <c r="E144" s="68"/>
      <c r="G144" s="18">
        <v>-1.8</v>
      </c>
    </row>
    <row r="145" spans="3:7" ht="12.75">
      <c r="C145" s="67" t="s">
        <v>266</v>
      </c>
      <c r="D145" s="68"/>
      <c r="E145" s="68"/>
      <c r="G145" s="18">
        <v>41.976</v>
      </c>
    </row>
    <row r="146" spans="3:7" ht="12.75">
      <c r="C146" s="67" t="s">
        <v>265</v>
      </c>
      <c r="D146" s="68"/>
      <c r="E146" s="68"/>
      <c r="G146" s="18">
        <v>-1.8</v>
      </c>
    </row>
    <row r="147" spans="3:7" ht="12.75">
      <c r="C147" s="67" t="s">
        <v>267</v>
      </c>
      <c r="D147" s="68"/>
      <c r="E147" s="68"/>
      <c r="G147" s="18">
        <v>41.544</v>
      </c>
    </row>
    <row r="148" spans="3:7" ht="12.75">
      <c r="C148" s="67" t="s">
        <v>265</v>
      </c>
      <c r="D148" s="68"/>
      <c r="E148" s="68"/>
      <c r="G148" s="18">
        <v>-1.8</v>
      </c>
    </row>
    <row r="149" spans="3:7" ht="12.75">
      <c r="C149" s="67" t="s">
        <v>268</v>
      </c>
      <c r="D149" s="68"/>
      <c r="E149" s="68"/>
      <c r="G149" s="18">
        <v>116.928</v>
      </c>
    </row>
    <row r="150" spans="3:7" ht="12.75">
      <c r="C150" s="67" t="s">
        <v>265</v>
      </c>
      <c r="D150" s="68"/>
      <c r="E150" s="68"/>
      <c r="G150" s="18">
        <v>-1.8</v>
      </c>
    </row>
    <row r="151" spans="3:7" ht="12.75">
      <c r="C151" s="67" t="s">
        <v>269</v>
      </c>
      <c r="D151" s="68"/>
      <c r="E151" s="68"/>
      <c r="G151" s="18">
        <v>50.832</v>
      </c>
    </row>
    <row r="152" spans="3:7" ht="12.75">
      <c r="C152" s="67" t="s">
        <v>270</v>
      </c>
      <c r="D152" s="68"/>
      <c r="E152" s="68"/>
      <c r="G152" s="18">
        <v>-1.6</v>
      </c>
    </row>
    <row r="153" spans="3:7" ht="12.75">
      <c r="C153" s="67" t="s">
        <v>271</v>
      </c>
      <c r="D153" s="68"/>
      <c r="E153" s="68"/>
      <c r="G153" s="18">
        <v>31.248</v>
      </c>
    </row>
    <row r="154" spans="3:7" ht="12.75">
      <c r="C154" s="67" t="s">
        <v>270</v>
      </c>
      <c r="D154" s="68"/>
      <c r="E154" s="68"/>
      <c r="G154" s="18">
        <v>-1.6</v>
      </c>
    </row>
    <row r="155" spans="3:7" ht="12.75">
      <c r="C155" s="67" t="s">
        <v>272</v>
      </c>
      <c r="D155" s="68"/>
      <c r="E155" s="68"/>
      <c r="G155" s="18">
        <v>8.9</v>
      </c>
    </row>
    <row r="156" spans="3:7" ht="12.75">
      <c r="C156" s="67" t="s">
        <v>273</v>
      </c>
      <c r="D156" s="68"/>
      <c r="E156" s="68"/>
      <c r="G156" s="18">
        <v>-7.9</v>
      </c>
    </row>
    <row r="157" spans="3:7" ht="12.75">
      <c r="C157" s="67" t="s">
        <v>274</v>
      </c>
      <c r="D157" s="68"/>
      <c r="E157" s="68"/>
      <c r="G157" s="18">
        <v>90.072</v>
      </c>
    </row>
    <row r="158" spans="3:7" ht="12.75">
      <c r="C158" s="67" t="s">
        <v>275</v>
      </c>
      <c r="D158" s="68"/>
      <c r="E158" s="68"/>
      <c r="G158" s="18">
        <v>100.152</v>
      </c>
    </row>
    <row r="159" spans="3:7" ht="12.75">
      <c r="C159" s="67" t="s">
        <v>276</v>
      </c>
      <c r="D159" s="68"/>
      <c r="E159" s="68"/>
      <c r="G159" s="18">
        <v>-3.16</v>
      </c>
    </row>
    <row r="160" spans="3:7" ht="12.75">
      <c r="C160" s="67" t="s">
        <v>277</v>
      </c>
      <c r="D160" s="68"/>
      <c r="E160" s="68"/>
      <c r="G160" s="18">
        <v>61.92</v>
      </c>
    </row>
    <row r="161" spans="3:7" ht="12.75">
      <c r="C161" s="67" t="s">
        <v>278</v>
      </c>
      <c r="D161" s="68"/>
      <c r="E161" s="68"/>
      <c r="G161" s="18">
        <v>-3.16</v>
      </c>
    </row>
    <row r="162" spans="3:7" ht="12.75">
      <c r="C162" s="67" t="s">
        <v>279</v>
      </c>
      <c r="D162" s="68"/>
      <c r="E162" s="68"/>
      <c r="G162" s="18">
        <v>33.048</v>
      </c>
    </row>
    <row r="163" spans="3:7" ht="12.75">
      <c r="C163" s="67" t="s">
        <v>280</v>
      </c>
      <c r="D163" s="68"/>
      <c r="E163" s="68"/>
      <c r="G163" s="18">
        <v>-3.2</v>
      </c>
    </row>
    <row r="164" spans="3:7" ht="12.75">
      <c r="C164" s="67" t="s">
        <v>281</v>
      </c>
      <c r="D164" s="68"/>
      <c r="E164" s="68"/>
      <c r="G164" s="18">
        <v>34.632</v>
      </c>
    </row>
    <row r="165" spans="3:7" ht="12.75">
      <c r="C165" s="67" t="s">
        <v>282</v>
      </c>
      <c r="D165" s="68"/>
      <c r="E165" s="68"/>
      <c r="G165" s="18">
        <v>-2.8</v>
      </c>
    </row>
    <row r="166" spans="3:7" ht="12.75">
      <c r="C166" s="67" t="s">
        <v>283</v>
      </c>
      <c r="D166" s="68"/>
      <c r="E166" s="68"/>
      <c r="G166" s="18">
        <v>13.32</v>
      </c>
    </row>
    <row r="167" spans="3:7" ht="12.75">
      <c r="C167" s="67" t="s">
        <v>284</v>
      </c>
      <c r="D167" s="68"/>
      <c r="E167" s="68"/>
      <c r="G167" s="18">
        <v>-1.2</v>
      </c>
    </row>
    <row r="168" spans="3:7" ht="12.75">
      <c r="C168" s="67" t="s">
        <v>285</v>
      </c>
      <c r="D168" s="68"/>
      <c r="E168" s="68"/>
      <c r="G168" s="18">
        <v>32.328</v>
      </c>
    </row>
    <row r="169" spans="3:7" ht="12.75">
      <c r="C169" s="67" t="s">
        <v>286</v>
      </c>
      <c r="D169" s="68"/>
      <c r="E169" s="68"/>
      <c r="G169" s="18">
        <v>-3.2</v>
      </c>
    </row>
    <row r="170" spans="3:7" ht="12.75">
      <c r="C170" s="67" t="s">
        <v>287</v>
      </c>
      <c r="D170" s="68"/>
      <c r="E170" s="68"/>
      <c r="G170" s="18">
        <v>93.816</v>
      </c>
    </row>
    <row r="171" spans="3:7" ht="12.75">
      <c r="C171" s="67" t="s">
        <v>270</v>
      </c>
      <c r="D171" s="68"/>
      <c r="E171" s="68"/>
      <c r="G171" s="18">
        <v>-1.6</v>
      </c>
    </row>
    <row r="172" spans="3:7" ht="12.75">
      <c r="C172" s="67" t="s">
        <v>288</v>
      </c>
      <c r="D172" s="68"/>
      <c r="E172" s="68"/>
      <c r="G172" s="18">
        <v>48.528</v>
      </c>
    </row>
    <row r="173" spans="3:7" ht="12.75">
      <c r="C173" s="67" t="s">
        <v>270</v>
      </c>
      <c r="D173" s="68"/>
      <c r="E173" s="68"/>
      <c r="G173" s="18">
        <v>-1.6</v>
      </c>
    </row>
    <row r="174" spans="3:7" ht="12.75">
      <c r="C174" s="67" t="s">
        <v>289</v>
      </c>
      <c r="D174" s="68"/>
      <c r="E174" s="68"/>
      <c r="G174" s="18">
        <v>36.72</v>
      </c>
    </row>
    <row r="175" spans="3:7" ht="12.75">
      <c r="C175" s="67" t="s">
        <v>265</v>
      </c>
      <c r="D175" s="68"/>
      <c r="E175" s="68"/>
      <c r="G175" s="18">
        <v>-1.8</v>
      </c>
    </row>
    <row r="176" spans="3:7" ht="12.75">
      <c r="C176" s="67" t="s">
        <v>290</v>
      </c>
      <c r="D176" s="68"/>
      <c r="E176" s="68"/>
      <c r="G176" s="18">
        <v>36.36</v>
      </c>
    </row>
    <row r="177" spans="3:7" ht="12.75">
      <c r="C177" s="67" t="s">
        <v>291</v>
      </c>
      <c r="D177" s="68"/>
      <c r="E177" s="68"/>
      <c r="G177" s="18">
        <v>-9.05</v>
      </c>
    </row>
    <row r="178" spans="3:7" ht="12.75">
      <c r="C178" s="67" t="s">
        <v>292</v>
      </c>
      <c r="D178" s="68"/>
      <c r="E178" s="68"/>
      <c r="G178" s="18">
        <v>45.792</v>
      </c>
    </row>
    <row r="179" spans="3:7" ht="12.75">
      <c r="C179" s="67" t="s">
        <v>293</v>
      </c>
      <c r="D179" s="68"/>
      <c r="E179" s="68"/>
      <c r="G179" s="18">
        <v>-3.4</v>
      </c>
    </row>
    <row r="180" spans="3:7" ht="12.75">
      <c r="C180" s="67" t="s">
        <v>294</v>
      </c>
      <c r="D180" s="68"/>
      <c r="E180" s="68"/>
      <c r="G180" s="18">
        <v>58.896</v>
      </c>
    </row>
    <row r="181" spans="3:7" ht="12.75">
      <c r="C181" s="67" t="s">
        <v>295</v>
      </c>
      <c r="D181" s="68"/>
      <c r="E181" s="68"/>
      <c r="G181" s="18">
        <v>-3.4</v>
      </c>
    </row>
    <row r="182" spans="3:7" ht="12.75">
      <c r="C182" s="67" t="s">
        <v>296</v>
      </c>
      <c r="D182" s="68"/>
      <c r="E182" s="68"/>
      <c r="G182" s="18">
        <v>109.944</v>
      </c>
    </row>
    <row r="183" spans="3:7" ht="12.75">
      <c r="C183" s="67" t="s">
        <v>297</v>
      </c>
      <c r="D183" s="68"/>
      <c r="E183" s="68"/>
      <c r="G183" s="18">
        <v>-12.8109</v>
      </c>
    </row>
    <row r="184" spans="3:7" ht="12.75">
      <c r="C184" s="67" t="s">
        <v>298</v>
      </c>
      <c r="D184" s="68"/>
      <c r="E184" s="68"/>
      <c r="G184" s="18">
        <v>103.032</v>
      </c>
    </row>
    <row r="185" spans="3:7" ht="12.75">
      <c r="C185" s="67" t="s">
        <v>299</v>
      </c>
      <c r="D185" s="68"/>
      <c r="E185" s="68"/>
      <c r="G185" s="18">
        <v>-12.4109</v>
      </c>
    </row>
    <row r="186" spans="3:7" ht="12.75">
      <c r="C186" s="67" t="s">
        <v>300</v>
      </c>
      <c r="D186" s="68"/>
      <c r="E186" s="68"/>
      <c r="G186" s="18">
        <v>117.504</v>
      </c>
    </row>
    <row r="187" spans="3:7" ht="12.75">
      <c r="C187" s="67" t="s">
        <v>265</v>
      </c>
      <c r="D187" s="68"/>
      <c r="E187" s="68"/>
      <c r="G187" s="18">
        <v>-1.8</v>
      </c>
    </row>
    <row r="188" spans="3:7" ht="12.75">
      <c r="C188" s="67" t="s">
        <v>301</v>
      </c>
      <c r="D188" s="68"/>
      <c r="E188" s="68"/>
      <c r="G188" s="18">
        <v>113.544</v>
      </c>
    </row>
    <row r="189" spans="3:7" ht="12.75">
      <c r="C189" s="67" t="s">
        <v>265</v>
      </c>
      <c r="D189" s="68"/>
      <c r="E189" s="68"/>
      <c r="G189" s="18">
        <v>-1.8</v>
      </c>
    </row>
    <row r="190" spans="3:7" ht="12.75">
      <c r="C190" s="67" t="s">
        <v>302</v>
      </c>
      <c r="D190" s="68"/>
      <c r="E190" s="68"/>
      <c r="G190" s="18">
        <v>70.416</v>
      </c>
    </row>
    <row r="191" spans="3:7" ht="12.75">
      <c r="C191" s="67" t="s">
        <v>265</v>
      </c>
      <c r="D191" s="68"/>
      <c r="E191" s="68"/>
      <c r="G191" s="18">
        <v>-1.8</v>
      </c>
    </row>
    <row r="192" spans="3:7" ht="12.75">
      <c r="C192" s="67" t="s">
        <v>303</v>
      </c>
      <c r="D192" s="68"/>
      <c r="E192" s="68"/>
      <c r="G192" s="18">
        <v>113.328</v>
      </c>
    </row>
    <row r="193" spans="3:7" ht="12.75">
      <c r="C193" s="67" t="s">
        <v>265</v>
      </c>
      <c r="D193" s="68"/>
      <c r="E193" s="68"/>
      <c r="G193" s="18">
        <v>-1.8</v>
      </c>
    </row>
    <row r="194" spans="3:7" ht="12.75">
      <c r="C194" s="67" t="s">
        <v>304</v>
      </c>
      <c r="D194" s="68"/>
      <c r="E194" s="68"/>
      <c r="G194" s="18">
        <v>119.16</v>
      </c>
    </row>
    <row r="195" spans="3:7" ht="12.75">
      <c r="C195" s="67" t="s">
        <v>265</v>
      </c>
      <c r="D195" s="68"/>
      <c r="E195" s="68"/>
      <c r="G195" s="18">
        <v>-1.8</v>
      </c>
    </row>
    <row r="196" spans="3:7" ht="12.75">
      <c r="C196" s="67" t="s">
        <v>305</v>
      </c>
      <c r="D196" s="68"/>
      <c r="E196" s="68"/>
      <c r="G196" s="18">
        <v>102.384</v>
      </c>
    </row>
    <row r="197" spans="3:7" ht="12.75">
      <c r="C197" s="67" t="s">
        <v>306</v>
      </c>
      <c r="D197" s="68"/>
      <c r="E197" s="68"/>
      <c r="G197" s="18">
        <v>-1.6</v>
      </c>
    </row>
    <row r="198" spans="3:7" ht="12.75">
      <c r="C198" s="67" t="s">
        <v>307</v>
      </c>
      <c r="D198" s="68"/>
      <c r="E198" s="68"/>
      <c r="G198" s="18">
        <v>22.32</v>
      </c>
    </row>
    <row r="199" spans="3:7" ht="12.75">
      <c r="C199" s="67" t="s">
        <v>306</v>
      </c>
      <c r="D199" s="68"/>
      <c r="E199" s="68"/>
      <c r="G199" s="18">
        <v>-1.6</v>
      </c>
    </row>
    <row r="200" spans="3:7" ht="12.75">
      <c r="C200" s="67" t="s">
        <v>308</v>
      </c>
      <c r="D200" s="68"/>
      <c r="E200" s="68"/>
      <c r="G200" s="18">
        <v>117.576</v>
      </c>
    </row>
    <row r="201" spans="3:7" ht="12.75">
      <c r="C201" s="67" t="s">
        <v>265</v>
      </c>
      <c r="D201" s="68"/>
      <c r="E201" s="68"/>
      <c r="G201" s="18">
        <v>-1.8</v>
      </c>
    </row>
    <row r="202" spans="3:7" ht="12.75">
      <c r="C202" s="67" t="s">
        <v>309</v>
      </c>
      <c r="D202" s="68"/>
      <c r="E202" s="68"/>
      <c r="G202" s="18">
        <v>30.81</v>
      </c>
    </row>
    <row r="203" spans="3:7" ht="12.75">
      <c r="C203" s="67" t="s">
        <v>310</v>
      </c>
      <c r="D203" s="68"/>
      <c r="E203" s="68"/>
      <c r="G203" s="18">
        <v>-11.554</v>
      </c>
    </row>
    <row r="204" spans="3:7" ht="12.75">
      <c r="C204" s="67" t="s">
        <v>311</v>
      </c>
      <c r="D204" s="68"/>
      <c r="E204" s="68"/>
      <c r="G204" s="18">
        <v>104.4</v>
      </c>
    </row>
    <row r="205" spans="3:7" ht="12.75">
      <c r="C205" s="67" t="s">
        <v>312</v>
      </c>
      <c r="D205" s="68"/>
      <c r="E205" s="68"/>
      <c r="G205" s="18">
        <v>-9.584</v>
      </c>
    </row>
    <row r="206" spans="3:7" ht="12.75">
      <c r="C206" s="67" t="s">
        <v>313</v>
      </c>
      <c r="D206" s="68"/>
      <c r="E206" s="68"/>
      <c r="G206" s="18">
        <v>119.376</v>
      </c>
    </row>
    <row r="207" spans="3:7" ht="12.75">
      <c r="C207" s="67" t="s">
        <v>314</v>
      </c>
      <c r="D207" s="68"/>
      <c r="E207" s="68"/>
      <c r="G207" s="18">
        <v>-1.8</v>
      </c>
    </row>
    <row r="208" spans="3:7" ht="12.75">
      <c r="C208" s="67" t="s">
        <v>315</v>
      </c>
      <c r="D208" s="68"/>
      <c r="E208" s="68"/>
      <c r="G208" s="18">
        <v>113.544</v>
      </c>
    </row>
    <row r="209" spans="3:7" ht="12.75">
      <c r="C209" s="67" t="s">
        <v>316</v>
      </c>
      <c r="D209" s="68"/>
      <c r="E209" s="68"/>
      <c r="G209" s="18">
        <v>-3.6</v>
      </c>
    </row>
    <row r="210" spans="3:7" ht="12.75">
      <c r="C210" s="67" t="s">
        <v>317</v>
      </c>
      <c r="D210" s="68"/>
      <c r="E210" s="68"/>
      <c r="G210" s="18">
        <v>92.664</v>
      </c>
    </row>
    <row r="211" spans="3:7" ht="12.75">
      <c r="C211" s="67" t="s">
        <v>316</v>
      </c>
      <c r="D211" s="68"/>
      <c r="E211" s="68"/>
      <c r="G211" s="18">
        <v>-3.6</v>
      </c>
    </row>
    <row r="212" spans="3:7" ht="12.75">
      <c r="C212" s="67" t="s">
        <v>318</v>
      </c>
      <c r="D212" s="68"/>
      <c r="E212" s="68"/>
      <c r="G212" s="18">
        <v>62.136</v>
      </c>
    </row>
    <row r="213" spans="3:7" ht="12.75">
      <c r="C213" s="67" t="s">
        <v>265</v>
      </c>
      <c r="D213" s="68"/>
      <c r="E213" s="68"/>
      <c r="G213" s="18">
        <v>-1.8</v>
      </c>
    </row>
    <row r="214" spans="3:7" ht="12.75">
      <c r="C214" s="67" t="s">
        <v>319</v>
      </c>
      <c r="D214" s="68"/>
      <c r="E214" s="68"/>
      <c r="G214" s="18">
        <v>119.16</v>
      </c>
    </row>
    <row r="215" spans="3:7" ht="12.75">
      <c r="C215" s="67" t="s">
        <v>316</v>
      </c>
      <c r="D215" s="68"/>
      <c r="E215" s="68"/>
      <c r="G215" s="18">
        <v>-3.6</v>
      </c>
    </row>
    <row r="216" spans="3:7" ht="12.75">
      <c r="C216" s="67" t="s">
        <v>320</v>
      </c>
      <c r="D216" s="68"/>
      <c r="E216" s="68"/>
      <c r="G216" s="18">
        <v>78.84</v>
      </c>
    </row>
    <row r="217" spans="3:7" ht="12.75">
      <c r="C217" s="67" t="s">
        <v>265</v>
      </c>
      <c r="D217" s="68"/>
      <c r="E217" s="68"/>
      <c r="G217" s="18">
        <v>-1.8</v>
      </c>
    </row>
    <row r="218" spans="3:7" ht="12.75">
      <c r="C218" s="67" t="s">
        <v>321</v>
      </c>
      <c r="D218" s="68"/>
      <c r="E218" s="68"/>
      <c r="G218" s="18">
        <v>99.36</v>
      </c>
    </row>
    <row r="219" spans="3:7" ht="12.75">
      <c r="C219" s="67" t="s">
        <v>322</v>
      </c>
      <c r="D219" s="68"/>
      <c r="E219" s="68"/>
      <c r="G219" s="18">
        <v>-3</v>
      </c>
    </row>
    <row r="220" spans="3:7" ht="12.75">
      <c r="C220" s="67" t="s">
        <v>323</v>
      </c>
      <c r="D220" s="68"/>
      <c r="E220" s="68"/>
      <c r="G220" s="18">
        <v>22.896</v>
      </c>
    </row>
    <row r="221" spans="3:7" ht="12.75">
      <c r="C221" s="67" t="s">
        <v>284</v>
      </c>
      <c r="D221" s="68"/>
      <c r="E221" s="68"/>
      <c r="G221" s="18">
        <v>-1.2</v>
      </c>
    </row>
    <row r="222" spans="3:7" ht="12.75">
      <c r="C222" s="67" t="s">
        <v>324</v>
      </c>
      <c r="D222" s="68"/>
      <c r="E222" s="68"/>
      <c r="G222" s="18">
        <v>118.08</v>
      </c>
    </row>
    <row r="223" spans="3:7" ht="12.75">
      <c r="C223" s="67" t="s">
        <v>265</v>
      </c>
      <c r="D223" s="68"/>
      <c r="E223" s="68"/>
      <c r="G223" s="18">
        <v>-1.8</v>
      </c>
    </row>
    <row r="224" spans="3:7" ht="12.75">
      <c r="C224" s="67" t="s">
        <v>325</v>
      </c>
      <c r="D224" s="68"/>
      <c r="E224" s="68"/>
      <c r="G224" s="18">
        <v>32.812</v>
      </c>
    </row>
    <row r="225" spans="3:7" ht="12.75">
      <c r="C225" s="67" t="s">
        <v>326</v>
      </c>
      <c r="D225" s="68"/>
      <c r="E225" s="68"/>
      <c r="G225" s="18">
        <v>0</v>
      </c>
    </row>
    <row r="226" spans="3:7" ht="12.75">
      <c r="C226" s="67" t="s">
        <v>327</v>
      </c>
      <c r="D226" s="68"/>
      <c r="E226" s="68"/>
      <c r="G226" s="18">
        <v>76.104</v>
      </c>
    </row>
    <row r="227" spans="3:7" ht="12.75">
      <c r="C227" s="67" t="s">
        <v>328</v>
      </c>
      <c r="D227" s="68"/>
      <c r="E227" s="68"/>
      <c r="G227" s="18">
        <v>-3.3756</v>
      </c>
    </row>
    <row r="228" spans="3:7" ht="12.75">
      <c r="C228" s="67" t="s">
        <v>329</v>
      </c>
      <c r="D228" s="68"/>
      <c r="E228" s="68"/>
      <c r="G228" s="18">
        <v>60.704</v>
      </c>
    </row>
    <row r="229" spans="3:7" ht="12.75">
      <c r="C229" s="67" t="s">
        <v>330</v>
      </c>
      <c r="D229" s="68"/>
      <c r="E229" s="68"/>
      <c r="G229" s="18">
        <v>-3.1756</v>
      </c>
    </row>
    <row r="230" spans="3:7" ht="12.75">
      <c r="C230" s="67" t="s">
        <v>331</v>
      </c>
      <c r="D230" s="68"/>
      <c r="E230" s="68"/>
      <c r="G230" s="18">
        <v>63.504</v>
      </c>
    </row>
    <row r="231" spans="3:7" ht="12.75">
      <c r="C231" s="67" t="s">
        <v>332</v>
      </c>
      <c r="D231" s="68"/>
      <c r="E231" s="68"/>
      <c r="G231" s="18">
        <v>-9.1</v>
      </c>
    </row>
    <row r="232" spans="3:7" ht="12.75">
      <c r="C232" s="67" t="s">
        <v>333</v>
      </c>
      <c r="D232" s="68"/>
      <c r="E232" s="68"/>
      <c r="G232" s="18">
        <v>60.648</v>
      </c>
    </row>
    <row r="233" spans="3:7" ht="12.75">
      <c r="C233" s="67" t="s">
        <v>334</v>
      </c>
      <c r="D233" s="68"/>
      <c r="E233" s="68"/>
      <c r="G233" s="18">
        <v>-3.6</v>
      </c>
    </row>
    <row r="234" spans="3:7" ht="12.75">
      <c r="C234" s="67" t="s">
        <v>335</v>
      </c>
      <c r="D234" s="68"/>
      <c r="E234" s="68"/>
      <c r="G234" s="18">
        <v>60.592</v>
      </c>
    </row>
    <row r="235" spans="3:7" ht="12.75">
      <c r="C235" s="67" t="s">
        <v>336</v>
      </c>
      <c r="D235" s="68"/>
      <c r="E235" s="68"/>
      <c r="G235" s="18">
        <v>-5.06</v>
      </c>
    </row>
    <row r="236" spans="3:7" ht="12.75">
      <c r="C236" s="67" t="s">
        <v>337</v>
      </c>
      <c r="D236" s="68"/>
      <c r="E236" s="68"/>
      <c r="G236" s="18">
        <v>21.168</v>
      </c>
    </row>
    <row r="237" spans="3:7" ht="12.75">
      <c r="C237" s="67" t="s">
        <v>306</v>
      </c>
      <c r="D237" s="68"/>
      <c r="E237" s="68"/>
      <c r="G237" s="18">
        <v>-1.6</v>
      </c>
    </row>
    <row r="238" spans="3:7" ht="12.75">
      <c r="C238" s="67" t="s">
        <v>338</v>
      </c>
      <c r="D238" s="68"/>
      <c r="E238" s="68"/>
      <c r="G238" s="18">
        <v>53.088</v>
      </c>
    </row>
    <row r="239" spans="3:7" ht="12.75">
      <c r="C239" s="67" t="s">
        <v>295</v>
      </c>
      <c r="D239" s="68"/>
      <c r="E239" s="68"/>
      <c r="G239" s="18">
        <v>-3.4</v>
      </c>
    </row>
    <row r="240" spans="3:7" ht="12.75">
      <c r="C240" s="67" t="s">
        <v>339</v>
      </c>
      <c r="D240" s="68"/>
      <c r="E240" s="68"/>
      <c r="G240" s="18">
        <v>46.368</v>
      </c>
    </row>
    <row r="241" spans="3:7" ht="12.75">
      <c r="C241" s="67" t="s">
        <v>340</v>
      </c>
      <c r="D241" s="68"/>
      <c r="E241" s="68"/>
      <c r="G241" s="18">
        <v>-3.6</v>
      </c>
    </row>
    <row r="242" spans="3:7" ht="12.75">
      <c r="C242" s="67" t="s">
        <v>341</v>
      </c>
      <c r="D242" s="68"/>
      <c r="E242" s="68"/>
      <c r="G242" s="18">
        <v>-259.379</v>
      </c>
    </row>
    <row r="243" spans="1:62" ht="12.75">
      <c r="A243" s="5" t="s">
        <v>54</v>
      </c>
      <c r="B243" s="5" t="s">
        <v>131</v>
      </c>
      <c r="C243" s="69" t="s">
        <v>342</v>
      </c>
      <c r="D243" s="70"/>
      <c r="E243" s="70"/>
      <c r="F243" s="5" t="s">
        <v>384</v>
      </c>
      <c r="G243" s="17">
        <f>'Stavební rozpočet'!G248</f>
        <v>3.099</v>
      </c>
      <c r="H243" s="17">
        <f>'Stavební rozpočet'!H248</f>
        <v>0</v>
      </c>
      <c r="I243" s="17">
        <f>G243*AO243</f>
        <v>0</v>
      </c>
      <c r="J243" s="17">
        <f>G243*AP243</f>
        <v>0</v>
      </c>
      <c r="K243" s="17">
        <f>G243*H243</f>
        <v>0</v>
      </c>
      <c r="L243" s="30" t="s">
        <v>407</v>
      </c>
      <c r="Z243" s="35">
        <f>IF(AQ243="5",BJ243,0)</f>
        <v>0</v>
      </c>
      <c r="AB243" s="35">
        <f>IF(AQ243="1",BH243,0)</f>
        <v>0</v>
      </c>
      <c r="AC243" s="35">
        <f>IF(AQ243="1",BI243,0)</f>
        <v>0</v>
      </c>
      <c r="AD243" s="35">
        <f>IF(AQ243="7",BH243,0)</f>
        <v>0</v>
      </c>
      <c r="AE243" s="35">
        <f>IF(AQ243="7",BI243,0)</f>
        <v>0</v>
      </c>
      <c r="AF243" s="35">
        <f>IF(AQ243="2",BH243,0)</f>
        <v>0</v>
      </c>
      <c r="AG243" s="35">
        <f>IF(AQ243="2",BI243,0)</f>
        <v>0</v>
      </c>
      <c r="AH243" s="35">
        <f>IF(AQ243="0",BJ243,0)</f>
        <v>0</v>
      </c>
      <c r="AI243" s="29" t="s">
        <v>419</v>
      </c>
      <c r="AJ243" s="17">
        <f>IF(AN243=0,K243,0)</f>
        <v>0</v>
      </c>
      <c r="AK243" s="17">
        <f>IF(AN243=15,K243,0)</f>
        <v>0</v>
      </c>
      <c r="AL243" s="17">
        <f>IF(AN243=21,K243,0)</f>
        <v>0</v>
      </c>
      <c r="AN243" s="35">
        <v>21</v>
      </c>
      <c r="AO243" s="35">
        <f>H243*0.133668712678551</f>
        <v>0</v>
      </c>
      <c r="AP243" s="35">
        <f>H243*(1-0.133668712678551)</f>
        <v>0</v>
      </c>
      <c r="AQ243" s="30" t="s">
        <v>7</v>
      </c>
      <c r="AV243" s="35">
        <f>AW243+AX243</f>
        <v>0</v>
      </c>
      <c r="AW243" s="35">
        <f>G243*AO243</f>
        <v>0</v>
      </c>
      <c r="AX243" s="35">
        <f>G243*AP243</f>
        <v>0</v>
      </c>
      <c r="AY243" s="36" t="s">
        <v>433</v>
      </c>
      <c r="AZ243" s="36" t="s">
        <v>445</v>
      </c>
      <c r="BA243" s="29" t="s">
        <v>451</v>
      </c>
      <c r="BC243" s="35">
        <f>AW243+AX243</f>
        <v>0</v>
      </c>
      <c r="BD243" s="35">
        <f>H243/(100-BE243)*100</f>
        <v>0</v>
      </c>
      <c r="BE243" s="35">
        <v>0</v>
      </c>
      <c r="BF243" s="35">
        <f>243</f>
        <v>243</v>
      </c>
      <c r="BH243" s="17">
        <f>G243*AO243</f>
        <v>0</v>
      </c>
      <c r="BI243" s="17">
        <f>G243*AP243</f>
        <v>0</v>
      </c>
      <c r="BJ243" s="17">
        <f>G243*H243</f>
        <v>0</v>
      </c>
    </row>
    <row r="244" spans="3:7" ht="12.75">
      <c r="C244" s="67" t="s">
        <v>343</v>
      </c>
      <c r="D244" s="68"/>
      <c r="E244" s="68"/>
      <c r="G244" s="18">
        <v>3.099</v>
      </c>
    </row>
    <row r="245" spans="1:62" ht="12.75">
      <c r="A245" s="5" t="s">
        <v>55</v>
      </c>
      <c r="B245" s="5" t="s">
        <v>132</v>
      </c>
      <c r="C245" s="69" t="s">
        <v>345</v>
      </c>
      <c r="D245" s="70"/>
      <c r="E245" s="70"/>
      <c r="F245" s="5" t="s">
        <v>384</v>
      </c>
      <c r="G245" s="17">
        <f>'Stavební rozpočet'!G251</f>
        <v>1495.01</v>
      </c>
      <c r="H245" s="17">
        <f>'Stavební rozpočet'!H251</f>
        <v>0</v>
      </c>
      <c r="I245" s="17">
        <f>G245*AO245</f>
        <v>0</v>
      </c>
      <c r="J245" s="17">
        <f>G245*AP245</f>
        <v>0</v>
      </c>
      <c r="K245" s="17">
        <f>G245*H245</f>
        <v>0</v>
      </c>
      <c r="L245" s="30" t="s">
        <v>407</v>
      </c>
      <c r="Z245" s="35">
        <f>IF(AQ245="5",BJ245,0)</f>
        <v>0</v>
      </c>
      <c r="AB245" s="35">
        <f>IF(AQ245="1",BH245,0)</f>
        <v>0</v>
      </c>
      <c r="AC245" s="35">
        <f>IF(AQ245="1",BI245,0)</f>
        <v>0</v>
      </c>
      <c r="AD245" s="35">
        <f>IF(AQ245="7",BH245,0)</f>
        <v>0</v>
      </c>
      <c r="AE245" s="35">
        <f>IF(AQ245="7",BI245,0)</f>
        <v>0</v>
      </c>
      <c r="AF245" s="35">
        <f>IF(AQ245="2",BH245,0)</f>
        <v>0</v>
      </c>
      <c r="AG245" s="35">
        <f>IF(AQ245="2",BI245,0)</f>
        <v>0</v>
      </c>
      <c r="AH245" s="35">
        <f>IF(AQ245="0",BJ245,0)</f>
        <v>0</v>
      </c>
      <c r="AI245" s="29" t="s">
        <v>419</v>
      </c>
      <c r="AJ245" s="17">
        <f>IF(AN245=0,K245,0)</f>
        <v>0</v>
      </c>
      <c r="AK245" s="17">
        <f>IF(AN245=15,K245,0)</f>
        <v>0</v>
      </c>
      <c r="AL245" s="17">
        <f>IF(AN245=21,K245,0)</f>
        <v>0</v>
      </c>
      <c r="AN245" s="35">
        <v>21</v>
      </c>
      <c r="AO245" s="35">
        <f>H245*0.175247536358579</f>
        <v>0</v>
      </c>
      <c r="AP245" s="35">
        <f>H245*(1-0.175247536358579)</f>
        <v>0</v>
      </c>
      <c r="AQ245" s="30" t="s">
        <v>7</v>
      </c>
      <c r="AV245" s="35">
        <f>AW245+AX245</f>
        <v>0</v>
      </c>
      <c r="AW245" s="35">
        <f>G245*AO245</f>
        <v>0</v>
      </c>
      <c r="AX245" s="35">
        <f>G245*AP245</f>
        <v>0</v>
      </c>
      <c r="AY245" s="36" t="s">
        <v>434</v>
      </c>
      <c r="AZ245" s="36" t="s">
        <v>445</v>
      </c>
      <c r="BA245" s="29" t="s">
        <v>451</v>
      </c>
      <c r="BC245" s="35">
        <f>AW245+AX245</f>
        <v>0</v>
      </c>
      <c r="BD245" s="35">
        <f>H245/(100-BE245)*100</f>
        <v>0</v>
      </c>
      <c r="BE245" s="35">
        <v>0</v>
      </c>
      <c r="BF245" s="35">
        <f>245</f>
        <v>245</v>
      </c>
      <c r="BH245" s="17">
        <f>G245*AO245</f>
        <v>0</v>
      </c>
      <c r="BI245" s="17">
        <f>G245*AP245</f>
        <v>0</v>
      </c>
      <c r="BJ245" s="17">
        <f>G245*H245</f>
        <v>0</v>
      </c>
    </row>
    <row r="246" spans="3:7" ht="12.75">
      <c r="C246" s="67" t="s">
        <v>346</v>
      </c>
      <c r="D246" s="68"/>
      <c r="E246" s="68"/>
      <c r="G246" s="18">
        <v>60.92</v>
      </c>
    </row>
    <row r="247" spans="3:7" ht="12.75">
      <c r="C247" s="67" t="s">
        <v>347</v>
      </c>
      <c r="D247" s="68"/>
      <c r="E247" s="68"/>
      <c r="G247" s="18">
        <v>168.16</v>
      </c>
    </row>
    <row r="248" spans="3:7" ht="12.75">
      <c r="C248" s="67" t="s">
        <v>348</v>
      </c>
      <c r="D248" s="68"/>
      <c r="E248" s="68"/>
      <c r="G248" s="18">
        <v>176.86</v>
      </c>
    </row>
    <row r="249" spans="3:7" ht="12.75">
      <c r="C249" s="67" t="s">
        <v>349</v>
      </c>
      <c r="D249" s="68"/>
      <c r="E249" s="68"/>
      <c r="G249" s="18">
        <v>47.77</v>
      </c>
    </row>
    <row r="250" spans="3:7" ht="12.75">
      <c r="C250" s="67" t="s">
        <v>350</v>
      </c>
      <c r="D250" s="68"/>
      <c r="E250" s="68"/>
      <c r="G250" s="18">
        <v>420.37</v>
      </c>
    </row>
    <row r="251" spans="3:7" ht="12.75">
      <c r="C251" s="67" t="s">
        <v>351</v>
      </c>
      <c r="D251" s="68"/>
      <c r="E251" s="68"/>
      <c r="G251" s="18">
        <v>426.03</v>
      </c>
    </row>
    <row r="252" spans="3:7" ht="12.75">
      <c r="C252" s="67" t="s">
        <v>352</v>
      </c>
      <c r="D252" s="68"/>
      <c r="E252" s="68"/>
      <c r="G252" s="18">
        <v>194.9</v>
      </c>
    </row>
    <row r="253" spans="1:47" ht="12.75">
      <c r="A253" s="4"/>
      <c r="B253" s="14" t="s">
        <v>459</v>
      </c>
      <c r="C253" s="75" t="s">
        <v>466</v>
      </c>
      <c r="D253" s="76"/>
      <c r="E253" s="76"/>
      <c r="F253" s="4" t="s">
        <v>6</v>
      </c>
      <c r="G253" s="4" t="s">
        <v>6</v>
      </c>
      <c r="H253" s="4" t="s">
        <v>6</v>
      </c>
      <c r="I253" s="38">
        <f>SUM(I254:I254)</f>
        <v>0</v>
      </c>
      <c r="J253" s="38">
        <f>SUM(J254:J254)</f>
        <v>0</v>
      </c>
      <c r="K253" s="38">
        <f>SUM(K254:K254)</f>
        <v>0</v>
      </c>
      <c r="L253" s="29"/>
      <c r="AI253" s="29" t="s">
        <v>419</v>
      </c>
      <c r="AS253" s="38">
        <f>SUM(AJ254:AJ254)</f>
        <v>0</v>
      </c>
      <c r="AT253" s="38">
        <f>SUM(AK254:AK254)</f>
        <v>0</v>
      </c>
      <c r="AU253" s="38">
        <f>SUM(AL254:AL254)</f>
        <v>0</v>
      </c>
    </row>
    <row r="254" spans="1:62" ht="12.75">
      <c r="A254" s="5" t="s">
        <v>56</v>
      </c>
      <c r="B254" s="5" t="s">
        <v>134</v>
      </c>
      <c r="C254" s="69" t="s">
        <v>354</v>
      </c>
      <c r="D254" s="70"/>
      <c r="E254" s="70"/>
      <c r="F254" s="5" t="s">
        <v>387</v>
      </c>
      <c r="G254" s="17">
        <f>'Stavební rozpočet'!G260</f>
        <v>1</v>
      </c>
      <c r="H254" s="17">
        <f>'Stavební rozpočet'!H260</f>
        <v>0</v>
      </c>
      <c r="I254" s="17">
        <f>G254*AO254</f>
        <v>0</v>
      </c>
      <c r="J254" s="17">
        <f>G254*AP254</f>
        <v>0</v>
      </c>
      <c r="K254" s="17">
        <f>G254*H254</f>
        <v>0</v>
      </c>
      <c r="L254" s="30" t="s">
        <v>407</v>
      </c>
      <c r="Z254" s="35">
        <f>IF(AQ254="5",BJ254,0)</f>
        <v>0</v>
      </c>
      <c r="AB254" s="35">
        <f>IF(AQ254="1",BH254,0)</f>
        <v>0</v>
      </c>
      <c r="AC254" s="35">
        <f>IF(AQ254="1",BI254,0)</f>
        <v>0</v>
      </c>
      <c r="AD254" s="35">
        <f>IF(AQ254="7",BH254,0)</f>
        <v>0</v>
      </c>
      <c r="AE254" s="35">
        <f>IF(AQ254="7",BI254,0)</f>
        <v>0</v>
      </c>
      <c r="AF254" s="35">
        <f>IF(AQ254="2",BH254,0)</f>
        <v>0</v>
      </c>
      <c r="AG254" s="35">
        <f>IF(AQ254="2",BI254,0)</f>
        <v>0</v>
      </c>
      <c r="AH254" s="35">
        <f>IF(AQ254="0",BJ254,0)</f>
        <v>0</v>
      </c>
      <c r="AI254" s="29" t="s">
        <v>419</v>
      </c>
      <c r="AJ254" s="17">
        <f>IF(AN254=0,K254,0)</f>
        <v>0</v>
      </c>
      <c r="AK254" s="17">
        <f>IF(AN254=15,K254,0)</f>
        <v>0</v>
      </c>
      <c r="AL254" s="17">
        <f>IF(AN254=21,K254,0)</f>
        <v>0</v>
      </c>
      <c r="AN254" s="35">
        <v>21</v>
      </c>
      <c r="AO254" s="35">
        <f>H254*0.0112551724137931</f>
        <v>0</v>
      </c>
      <c r="AP254" s="35">
        <f>H254*(1-0.0112551724137931)</f>
        <v>0</v>
      </c>
      <c r="AQ254" s="30" t="s">
        <v>13</v>
      </c>
      <c r="AV254" s="35">
        <f>AW254+AX254</f>
        <v>0</v>
      </c>
      <c r="AW254" s="35">
        <f>G254*AO254</f>
        <v>0</v>
      </c>
      <c r="AX254" s="35">
        <f>G254*AP254</f>
        <v>0</v>
      </c>
      <c r="AY254" s="36" t="s">
        <v>435</v>
      </c>
      <c r="AZ254" s="36" t="s">
        <v>446</v>
      </c>
      <c r="BA254" s="29" t="s">
        <v>451</v>
      </c>
      <c r="BC254" s="35">
        <f>AW254+AX254</f>
        <v>0</v>
      </c>
      <c r="BD254" s="35">
        <f>H254/(100-BE254)*100</f>
        <v>0</v>
      </c>
      <c r="BE254" s="35">
        <v>0</v>
      </c>
      <c r="BF254" s="35">
        <f>254</f>
        <v>254</v>
      </c>
      <c r="BH254" s="17">
        <f>G254*AO254</f>
        <v>0</v>
      </c>
      <c r="BI254" s="17">
        <f>G254*AP254</f>
        <v>0</v>
      </c>
      <c r="BJ254" s="17">
        <f>G254*H254</f>
        <v>0</v>
      </c>
    </row>
    <row r="255" spans="3:7" ht="12.75">
      <c r="C255" s="67" t="s">
        <v>355</v>
      </c>
      <c r="D255" s="68"/>
      <c r="E255" s="68"/>
      <c r="G255" s="18">
        <v>1</v>
      </c>
    </row>
    <row r="256" spans="1:47" ht="12.75">
      <c r="A256" s="4"/>
      <c r="B256" s="14" t="s">
        <v>458</v>
      </c>
      <c r="C256" s="75" t="s">
        <v>463</v>
      </c>
      <c r="D256" s="76"/>
      <c r="E256" s="76"/>
      <c r="F256" s="4" t="s">
        <v>6</v>
      </c>
      <c r="G256" s="4" t="s">
        <v>6</v>
      </c>
      <c r="H256" s="4" t="s">
        <v>6</v>
      </c>
      <c r="I256" s="38">
        <f>SUM(I257:I267)</f>
        <v>0</v>
      </c>
      <c r="J256" s="38">
        <f>SUM(J257:J267)</f>
        <v>0</v>
      </c>
      <c r="K256" s="38">
        <f>SUM(K257:K267)</f>
        <v>0</v>
      </c>
      <c r="L256" s="29"/>
      <c r="AI256" s="29" t="s">
        <v>419</v>
      </c>
      <c r="AS256" s="38">
        <f>SUM(AJ257:AJ267)</f>
        <v>0</v>
      </c>
      <c r="AT256" s="38">
        <f>SUM(AK257:AK267)</f>
        <v>0</v>
      </c>
      <c r="AU256" s="38">
        <f>SUM(AL257:AL267)</f>
        <v>0</v>
      </c>
    </row>
    <row r="257" spans="1:62" ht="12.75">
      <c r="A257" s="5" t="s">
        <v>57</v>
      </c>
      <c r="B257" s="5" t="s">
        <v>89</v>
      </c>
      <c r="C257" s="69" t="s">
        <v>178</v>
      </c>
      <c r="D257" s="70"/>
      <c r="E257" s="70"/>
      <c r="F257" s="5" t="s">
        <v>384</v>
      </c>
      <c r="G257" s="17">
        <f>'Stavební rozpočet'!G263</f>
        <v>4932.038</v>
      </c>
      <c r="H257" s="17">
        <f>'Stavební rozpočet'!H263</f>
        <v>0</v>
      </c>
      <c r="I257" s="17">
        <f>G257*AO257</f>
        <v>0</v>
      </c>
      <c r="J257" s="17">
        <f>G257*AP257</f>
        <v>0</v>
      </c>
      <c r="K257" s="17">
        <f>G257*H257</f>
        <v>0</v>
      </c>
      <c r="L257" s="30" t="s">
        <v>407</v>
      </c>
      <c r="Z257" s="35">
        <f>IF(AQ257="5",BJ257,0)</f>
        <v>0</v>
      </c>
      <c r="AB257" s="35">
        <f>IF(AQ257="1",BH257,0)</f>
        <v>0</v>
      </c>
      <c r="AC257" s="35">
        <f>IF(AQ257="1",BI257,0)</f>
        <v>0</v>
      </c>
      <c r="AD257" s="35">
        <f>IF(AQ257="7",BH257,0)</f>
        <v>0</v>
      </c>
      <c r="AE257" s="35">
        <f>IF(AQ257="7",BI257,0)</f>
        <v>0</v>
      </c>
      <c r="AF257" s="35">
        <f>IF(AQ257="2",BH257,0)</f>
        <v>0</v>
      </c>
      <c r="AG257" s="35">
        <f>IF(AQ257="2",BI257,0)</f>
        <v>0</v>
      </c>
      <c r="AH257" s="35">
        <f>IF(AQ257="0",BJ257,0)</f>
        <v>0</v>
      </c>
      <c r="AI257" s="29" t="s">
        <v>419</v>
      </c>
      <c r="AJ257" s="17">
        <f>IF(AN257=0,K257,0)</f>
        <v>0</v>
      </c>
      <c r="AK257" s="17">
        <f>IF(AN257=15,K257,0)</f>
        <v>0</v>
      </c>
      <c r="AL257" s="17">
        <f>IF(AN257=21,K257,0)</f>
        <v>0</v>
      </c>
      <c r="AN257" s="35">
        <v>21</v>
      </c>
      <c r="AO257" s="35">
        <f>H257*0.300552478780919</f>
        <v>0</v>
      </c>
      <c r="AP257" s="35">
        <f>H257*(1-0.300552478780919)</f>
        <v>0</v>
      </c>
      <c r="AQ257" s="30" t="s">
        <v>13</v>
      </c>
      <c r="AV257" s="35">
        <f>AW257+AX257</f>
        <v>0</v>
      </c>
      <c r="AW257" s="35">
        <f>G257*AO257</f>
        <v>0</v>
      </c>
      <c r="AX257" s="35">
        <f>G257*AP257</f>
        <v>0</v>
      </c>
      <c r="AY257" s="36" t="s">
        <v>423</v>
      </c>
      <c r="AZ257" s="36" t="s">
        <v>447</v>
      </c>
      <c r="BA257" s="29" t="s">
        <v>451</v>
      </c>
      <c r="BC257" s="35">
        <f>AW257+AX257</f>
        <v>0</v>
      </c>
      <c r="BD257" s="35">
        <f>H257/(100-BE257)*100</f>
        <v>0</v>
      </c>
      <c r="BE257" s="35">
        <v>0</v>
      </c>
      <c r="BF257" s="35">
        <f>257</f>
        <v>257</v>
      </c>
      <c r="BH257" s="17">
        <f>G257*AO257</f>
        <v>0</v>
      </c>
      <c r="BI257" s="17">
        <f>G257*AP257</f>
        <v>0</v>
      </c>
      <c r="BJ257" s="17">
        <f>G257*H257</f>
        <v>0</v>
      </c>
    </row>
    <row r="258" spans="3:7" ht="12.75">
      <c r="C258" s="67" t="s">
        <v>356</v>
      </c>
      <c r="D258" s="68"/>
      <c r="E258" s="68"/>
      <c r="G258" s="18">
        <v>3437.028</v>
      </c>
    </row>
    <row r="259" spans="3:7" ht="12.75">
      <c r="C259" s="67" t="s">
        <v>357</v>
      </c>
      <c r="D259" s="68"/>
      <c r="E259" s="68"/>
      <c r="G259" s="18">
        <v>1495.01</v>
      </c>
    </row>
    <row r="260" spans="1:62" ht="12.75">
      <c r="A260" s="5" t="s">
        <v>58</v>
      </c>
      <c r="B260" s="5" t="s">
        <v>135</v>
      </c>
      <c r="C260" s="69" t="s">
        <v>358</v>
      </c>
      <c r="D260" s="70"/>
      <c r="E260" s="70"/>
      <c r="F260" s="5" t="s">
        <v>384</v>
      </c>
      <c r="G260" s="17">
        <f>'Stavební rozpočet'!G266</f>
        <v>1432.09</v>
      </c>
      <c r="H260" s="17">
        <f>'Stavební rozpočet'!H266</f>
        <v>0</v>
      </c>
      <c r="I260" s="17">
        <f>G260*AO260</f>
        <v>0</v>
      </c>
      <c r="J260" s="17">
        <f>G260*AP260</f>
        <v>0</v>
      </c>
      <c r="K260" s="17">
        <f>G260*H260</f>
        <v>0</v>
      </c>
      <c r="L260" s="30" t="s">
        <v>407</v>
      </c>
      <c r="Z260" s="35">
        <f>IF(AQ260="5",BJ260,0)</f>
        <v>0</v>
      </c>
      <c r="AB260" s="35">
        <f>IF(AQ260="1",BH260,0)</f>
        <v>0</v>
      </c>
      <c r="AC260" s="35">
        <f>IF(AQ260="1",BI260,0)</f>
        <v>0</v>
      </c>
      <c r="AD260" s="35">
        <f>IF(AQ260="7",BH260,0)</f>
        <v>0</v>
      </c>
      <c r="AE260" s="35">
        <f>IF(AQ260="7",BI260,0)</f>
        <v>0</v>
      </c>
      <c r="AF260" s="35">
        <f>IF(AQ260="2",BH260,0)</f>
        <v>0</v>
      </c>
      <c r="AG260" s="35">
        <f>IF(AQ260="2",BI260,0)</f>
        <v>0</v>
      </c>
      <c r="AH260" s="35">
        <f>IF(AQ260="0",BJ260,0)</f>
        <v>0</v>
      </c>
      <c r="AI260" s="29" t="s">
        <v>419</v>
      </c>
      <c r="AJ260" s="17">
        <f>IF(AN260=0,K260,0)</f>
        <v>0</v>
      </c>
      <c r="AK260" s="17">
        <f>IF(AN260=15,K260,0)</f>
        <v>0</v>
      </c>
      <c r="AL260" s="17">
        <f>IF(AN260=21,K260,0)</f>
        <v>0</v>
      </c>
      <c r="AN260" s="35">
        <v>21</v>
      </c>
      <c r="AO260" s="35">
        <f>H260*0.140594951879409</f>
        <v>0</v>
      </c>
      <c r="AP260" s="35">
        <f>H260*(1-0.140594951879409)</f>
        <v>0</v>
      </c>
      <c r="AQ260" s="30" t="s">
        <v>13</v>
      </c>
      <c r="AV260" s="35">
        <f>AW260+AX260</f>
        <v>0</v>
      </c>
      <c r="AW260" s="35">
        <f>G260*AO260</f>
        <v>0</v>
      </c>
      <c r="AX260" s="35">
        <f>G260*AP260</f>
        <v>0</v>
      </c>
      <c r="AY260" s="36" t="s">
        <v>423</v>
      </c>
      <c r="AZ260" s="36" t="s">
        <v>447</v>
      </c>
      <c r="BA260" s="29" t="s">
        <v>451</v>
      </c>
      <c r="BC260" s="35">
        <f>AW260+AX260</f>
        <v>0</v>
      </c>
      <c r="BD260" s="35">
        <f>H260/(100-BE260)*100</f>
        <v>0</v>
      </c>
      <c r="BE260" s="35">
        <v>0</v>
      </c>
      <c r="BF260" s="35">
        <f>260</f>
        <v>260</v>
      </c>
      <c r="BH260" s="17">
        <f>G260*AO260</f>
        <v>0</v>
      </c>
      <c r="BI260" s="17">
        <f>G260*AP260</f>
        <v>0</v>
      </c>
      <c r="BJ260" s="17">
        <f>G260*H260</f>
        <v>0</v>
      </c>
    </row>
    <row r="261" spans="3:7" ht="12.75">
      <c r="C261" s="67" t="s">
        <v>359</v>
      </c>
      <c r="D261" s="68"/>
      <c r="E261" s="68"/>
      <c r="G261" s="18">
        <v>1432.09</v>
      </c>
    </row>
    <row r="262" spans="1:62" ht="12.75">
      <c r="A262" s="5" t="s">
        <v>59</v>
      </c>
      <c r="B262" s="5" t="s">
        <v>136</v>
      </c>
      <c r="C262" s="69" t="s">
        <v>360</v>
      </c>
      <c r="D262" s="70"/>
      <c r="E262" s="70"/>
      <c r="F262" s="5" t="s">
        <v>384</v>
      </c>
      <c r="G262" s="17">
        <f>'Stavební rozpočet'!G268</f>
        <v>3499.95</v>
      </c>
      <c r="H262" s="17">
        <f>'Stavební rozpočet'!H268</f>
        <v>0</v>
      </c>
      <c r="I262" s="17">
        <f>G262*AO262</f>
        <v>0</v>
      </c>
      <c r="J262" s="17">
        <f>G262*AP262</f>
        <v>0</v>
      </c>
      <c r="K262" s="17">
        <f>G262*H262</f>
        <v>0</v>
      </c>
      <c r="L262" s="30" t="s">
        <v>407</v>
      </c>
      <c r="Z262" s="35">
        <f>IF(AQ262="5",BJ262,0)</f>
        <v>0</v>
      </c>
      <c r="AB262" s="35">
        <f>IF(AQ262="1",BH262,0)</f>
        <v>0</v>
      </c>
      <c r="AC262" s="35">
        <f>IF(AQ262="1",BI262,0)</f>
        <v>0</v>
      </c>
      <c r="AD262" s="35">
        <f>IF(AQ262="7",BH262,0)</f>
        <v>0</v>
      </c>
      <c r="AE262" s="35">
        <f>IF(AQ262="7",BI262,0)</f>
        <v>0</v>
      </c>
      <c r="AF262" s="35">
        <f>IF(AQ262="2",BH262,0)</f>
        <v>0</v>
      </c>
      <c r="AG262" s="35">
        <f>IF(AQ262="2",BI262,0)</f>
        <v>0</v>
      </c>
      <c r="AH262" s="35">
        <f>IF(AQ262="0",BJ262,0)</f>
        <v>0</v>
      </c>
      <c r="AI262" s="29" t="s">
        <v>419</v>
      </c>
      <c r="AJ262" s="17">
        <f>IF(AN262=0,K262,0)</f>
        <v>0</v>
      </c>
      <c r="AK262" s="17">
        <f>IF(AN262=15,K262,0)</f>
        <v>0</v>
      </c>
      <c r="AL262" s="17">
        <f>IF(AN262=21,K262,0)</f>
        <v>0</v>
      </c>
      <c r="AN262" s="35">
        <v>21</v>
      </c>
      <c r="AO262" s="35">
        <f>H262*0.238387709394266</f>
        <v>0</v>
      </c>
      <c r="AP262" s="35">
        <f>H262*(1-0.238387709394266)</f>
        <v>0</v>
      </c>
      <c r="AQ262" s="30" t="s">
        <v>13</v>
      </c>
      <c r="AV262" s="35">
        <f>AW262+AX262</f>
        <v>0</v>
      </c>
      <c r="AW262" s="35">
        <f>G262*AO262</f>
        <v>0</v>
      </c>
      <c r="AX262" s="35">
        <f>G262*AP262</f>
        <v>0</v>
      </c>
      <c r="AY262" s="36" t="s">
        <v>423</v>
      </c>
      <c r="AZ262" s="36" t="s">
        <v>447</v>
      </c>
      <c r="BA262" s="29" t="s">
        <v>451</v>
      </c>
      <c r="BC262" s="35">
        <f>AW262+AX262</f>
        <v>0</v>
      </c>
      <c r="BD262" s="35">
        <f>H262/(100-BE262)*100</f>
        <v>0</v>
      </c>
      <c r="BE262" s="35">
        <v>0</v>
      </c>
      <c r="BF262" s="35">
        <f>262</f>
        <v>262</v>
      </c>
      <c r="BH262" s="17">
        <f>G262*AO262</f>
        <v>0</v>
      </c>
      <c r="BI262" s="17">
        <f>G262*AP262</f>
        <v>0</v>
      </c>
      <c r="BJ262" s="17">
        <f>G262*H262</f>
        <v>0</v>
      </c>
    </row>
    <row r="263" spans="3:7" ht="12.75">
      <c r="C263" s="67" t="s">
        <v>361</v>
      </c>
      <c r="D263" s="68"/>
      <c r="E263" s="68"/>
      <c r="G263" s="18">
        <v>2004.94</v>
      </c>
    </row>
    <row r="264" spans="3:7" ht="12.75">
      <c r="C264" s="67" t="s">
        <v>362</v>
      </c>
      <c r="D264" s="68"/>
      <c r="E264" s="68"/>
      <c r="G264" s="18">
        <v>1495.01</v>
      </c>
    </row>
    <row r="265" spans="1:62" ht="12.75">
      <c r="A265" s="5" t="s">
        <v>60</v>
      </c>
      <c r="B265" s="5" t="s">
        <v>137</v>
      </c>
      <c r="C265" s="69" t="s">
        <v>363</v>
      </c>
      <c r="D265" s="70"/>
      <c r="E265" s="70"/>
      <c r="F265" s="5" t="s">
        <v>384</v>
      </c>
      <c r="G265" s="17">
        <f>'Stavební rozpočet'!G271</f>
        <v>4932.038</v>
      </c>
      <c r="H265" s="17">
        <f>'Stavební rozpočet'!H271</f>
        <v>0</v>
      </c>
      <c r="I265" s="17">
        <f>G265*AO265</f>
        <v>0</v>
      </c>
      <c r="J265" s="17">
        <f>G265*AP265</f>
        <v>0</v>
      </c>
      <c r="K265" s="17">
        <f>G265*H265</f>
        <v>0</v>
      </c>
      <c r="L265" s="30" t="s">
        <v>407</v>
      </c>
      <c r="Z265" s="35">
        <f>IF(AQ265="5",BJ265,0)</f>
        <v>0</v>
      </c>
      <c r="AB265" s="35">
        <f>IF(AQ265="1",BH265,0)</f>
        <v>0</v>
      </c>
      <c r="AC265" s="35">
        <f>IF(AQ265="1",BI265,0)</f>
        <v>0</v>
      </c>
      <c r="AD265" s="35">
        <f>IF(AQ265="7",BH265,0)</f>
        <v>0</v>
      </c>
      <c r="AE265" s="35">
        <f>IF(AQ265="7",BI265,0)</f>
        <v>0</v>
      </c>
      <c r="AF265" s="35">
        <f>IF(AQ265="2",BH265,0)</f>
        <v>0</v>
      </c>
      <c r="AG265" s="35">
        <f>IF(AQ265="2",BI265,0)</f>
        <v>0</v>
      </c>
      <c r="AH265" s="35">
        <f>IF(AQ265="0",BJ265,0)</f>
        <v>0</v>
      </c>
      <c r="AI265" s="29" t="s">
        <v>419</v>
      </c>
      <c r="AJ265" s="17">
        <f>IF(AN265=0,K265,0)</f>
        <v>0</v>
      </c>
      <c r="AK265" s="17">
        <f>IF(AN265=15,K265,0)</f>
        <v>0</v>
      </c>
      <c r="AL265" s="17">
        <f>IF(AN265=21,K265,0)</f>
        <v>0</v>
      </c>
      <c r="AN265" s="35">
        <v>21</v>
      </c>
      <c r="AO265" s="35">
        <f>H265*0.00318021190932468</f>
        <v>0</v>
      </c>
      <c r="AP265" s="35">
        <f>H265*(1-0.00318021190932468)</f>
        <v>0</v>
      </c>
      <c r="AQ265" s="30" t="s">
        <v>13</v>
      </c>
      <c r="AV265" s="35">
        <f>AW265+AX265</f>
        <v>0</v>
      </c>
      <c r="AW265" s="35">
        <f>G265*AO265</f>
        <v>0</v>
      </c>
      <c r="AX265" s="35">
        <f>G265*AP265</f>
        <v>0</v>
      </c>
      <c r="AY265" s="36" t="s">
        <v>423</v>
      </c>
      <c r="AZ265" s="36" t="s">
        <v>447</v>
      </c>
      <c r="BA265" s="29" t="s">
        <v>451</v>
      </c>
      <c r="BC265" s="35">
        <f>AW265+AX265</f>
        <v>0</v>
      </c>
      <c r="BD265" s="35">
        <f>H265/(100-BE265)*100</f>
        <v>0</v>
      </c>
      <c r="BE265" s="35">
        <v>0</v>
      </c>
      <c r="BF265" s="35">
        <f>265</f>
        <v>265</v>
      </c>
      <c r="BH265" s="17">
        <f>G265*AO265</f>
        <v>0</v>
      </c>
      <c r="BI265" s="17">
        <f>G265*AP265</f>
        <v>0</v>
      </c>
      <c r="BJ265" s="17">
        <f>G265*H265</f>
        <v>0</v>
      </c>
    </row>
    <row r="266" spans="3:7" ht="12.75">
      <c r="C266" s="67" t="s">
        <v>364</v>
      </c>
      <c r="D266" s="68"/>
      <c r="E266" s="68"/>
      <c r="G266" s="18">
        <v>4932.038</v>
      </c>
    </row>
    <row r="267" spans="1:62" ht="12.75">
      <c r="A267" s="5" t="s">
        <v>61</v>
      </c>
      <c r="B267" s="5" t="s">
        <v>138</v>
      </c>
      <c r="C267" s="69" t="s">
        <v>365</v>
      </c>
      <c r="D267" s="70"/>
      <c r="E267" s="70"/>
      <c r="F267" s="5" t="s">
        <v>384</v>
      </c>
      <c r="G267" s="17">
        <f>'Stavební rozpočet'!G273</f>
        <v>4932.038</v>
      </c>
      <c r="H267" s="17">
        <f>'Stavební rozpočet'!H273</f>
        <v>0</v>
      </c>
      <c r="I267" s="17">
        <f>G267*AO267</f>
        <v>0</v>
      </c>
      <c r="J267" s="17">
        <f>G267*AP267</f>
        <v>0</v>
      </c>
      <c r="K267" s="17">
        <f>G267*H267</f>
        <v>0</v>
      </c>
      <c r="L267" s="30" t="s">
        <v>407</v>
      </c>
      <c r="Z267" s="35">
        <f>IF(AQ267="5",BJ267,0)</f>
        <v>0</v>
      </c>
      <c r="AB267" s="35">
        <f>IF(AQ267="1",BH267,0)</f>
        <v>0</v>
      </c>
      <c r="AC267" s="35">
        <f>IF(AQ267="1",BI267,0)</f>
        <v>0</v>
      </c>
      <c r="AD267" s="35">
        <f>IF(AQ267="7",BH267,0)</f>
        <v>0</v>
      </c>
      <c r="AE267" s="35">
        <f>IF(AQ267="7",BI267,0)</f>
        <v>0</v>
      </c>
      <c r="AF267" s="35">
        <f>IF(AQ267="2",BH267,0)</f>
        <v>0</v>
      </c>
      <c r="AG267" s="35">
        <f>IF(AQ267="2",BI267,0)</f>
        <v>0</v>
      </c>
      <c r="AH267" s="35">
        <f>IF(AQ267="0",BJ267,0)</f>
        <v>0</v>
      </c>
      <c r="AI267" s="29" t="s">
        <v>419</v>
      </c>
      <c r="AJ267" s="17">
        <f>IF(AN267=0,K267,0)</f>
        <v>0</v>
      </c>
      <c r="AK267" s="17">
        <f>IF(AN267=15,K267,0)</f>
        <v>0</v>
      </c>
      <c r="AL267" s="17">
        <f>IF(AN267=21,K267,0)</f>
        <v>0</v>
      </c>
      <c r="AN267" s="35">
        <v>21</v>
      </c>
      <c r="AO267" s="35">
        <f>H267*0.00500000022528439</f>
        <v>0</v>
      </c>
      <c r="AP267" s="35">
        <f>H267*(1-0.00500000022528439)</f>
        <v>0</v>
      </c>
      <c r="AQ267" s="30" t="s">
        <v>13</v>
      </c>
      <c r="AV267" s="35">
        <f>AW267+AX267</f>
        <v>0</v>
      </c>
      <c r="AW267" s="35">
        <f>G267*AO267</f>
        <v>0</v>
      </c>
      <c r="AX267" s="35">
        <f>G267*AP267</f>
        <v>0</v>
      </c>
      <c r="AY267" s="36" t="s">
        <v>423</v>
      </c>
      <c r="AZ267" s="36" t="s">
        <v>447</v>
      </c>
      <c r="BA267" s="29" t="s">
        <v>451</v>
      </c>
      <c r="BC267" s="35">
        <f>AW267+AX267</f>
        <v>0</v>
      </c>
      <c r="BD267" s="35">
        <f>H267/(100-BE267)*100</f>
        <v>0</v>
      </c>
      <c r="BE267" s="35">
        <v>0</v>
      </c>
      <c r="BF267" s="35">
        <f>267</f>
        <v>267</v>
      </c>
      <c r="BH267" s="17">
        <f>G267*AO267</f>
        <v>0</v>
      </c>
      <c r="BI267" s="17">
        <f>G267*AP267</f>
        <v>0</v>
      </c>
      <c r="BJ267" s="17">
        <f>G267*H267</f>
        <v>0</v>
      </c>
    </row>
    <row r="268" spans="3:7" ht="12.75">
      <c r="C268" s="67" t="s">
        <v>364</v>
      </c>
      <c r="D268" s="68"/>
      <c r="E268" s="68"/>
      <c r="G268" s="18">
        <v>4932.038</v>
      </c>
    </row>
    <row r="269" spans="1:47" ht="12.75">
      <c r="A269" s="4"/>
      <c r="B269" s="14" t="s">
        <v>15</v>
      </c>
      <c r="C269" s="75" t="s">
        <v>464</v>
      </c>
      <c r="D269" s="76"/>
      <c r="E269" s="76"/>
      <c r="F269" s="4" t="s">
        <v>6</v>
      </c>
      <c r="G269" s="4" t="s">
        <v>6</v>
      </c>
      <c r="H269" s="4" t="s">
        <v>6</v>
      </c>
      <c r="I269" s="38">
        <f>SUM(I270:I284)</f>
        <v>0</v>
      </c>
      <c r="J269" s="38">
        <f>SUM(J270:J284)</f>
        <v>0</v>
      </c>
      <c r="K269" s="38">
        <f>SUM(K270:K284)</f>
        <v>0</v>
      </c>
      <c r="L269" s="29"/>
      <c r="AI269" s="29" t="s">
        <v>419</v>
      </c>
      <c r="AS269" s="38">
        <f>SUM(AJ270:AJ284)</f>
        <v>0</v>
      </c>
      <c r="AT269" s="38">
        <f>SUM(AK270:AK284)</f>
        <v>0</v>
      </c>
      <c r="AU269" s="38">
        <f>SUM(AL270:AL284)</f>
        <v>0</v>
      </c>
    </row>
    <row r="270" spans="1:62" ht="12.75">
      <c r="A270" s="5" t="s">
        <v>62</v>
      </c>
      <c r="B270" s="5" t="s">
        <v>94</v>
      </c>
      <c r="C270" s="69" t="s">
        <v>185</v>
      </c>
      <c r="D270" s="70"/>
      <c r="E270" s="70"/>
      <c r="F270" s="5" t="s">
        <v>384</v>
      </c>
      <c r="G270" s="17">
        <f>'Stavební rozpočet'!G276</f>
        <v>1495.01</v>
      </c>
      <c r="H270" s="17">
        <f>'Stavební rozpočet'!H276</f>
        <v>0</v>
      </c>
      <c r="I270" s="17">
        <f>G270*AO270</f>
        <v>0</v>
      </c>
      <c r="J270" s="17">
        <f>G270*AP270</f>
        <v>0</v>
      </c>
      <c r="K270" s="17">
        <f>G270*H270</f>
        <v>0</v>
      </c>
      <c r="L270" s="30" t="s">
        <v>407</v>
      </c>
      <c r="Z270" s="35">
        <f>IF(AQ270="5",BJ270,0)</f>
        <v>0</v>
      </c>
      <c r="AB270" s="35">
        <f>IF(AQ270="1",BH270,0)</f>
        <v>0</v>
      </c>
      <c r="AC270" s="35">
        <f>IF(AQ270="1",BI270,0)</f>
        <v>0</v>
      </c>
      <c r="AD270" s="35">
        <f>IF(AQ270="7",BH270,0)</f>
        <v>0</v>
      </c>
      <c r="AE270" s="35">
        <f>IF(AQ270="7",BI270,0)</f>
        <v>0</v>
      </c>
      <c r="AF270" s="35">
        <f>IF(AQ270="2",BH270,0)</f>
        <v>0</v>
      </c>
      <c r="AG270" s="35">
        <f>IF(AQ270="2",BI270,0)</f>
        <v>0</v>
      </c>
      <c r="AH270" s="35">
        <f>IF(AQ270="0",BJ270,0)</f>
        <v>0</v>
      </c>
      <c r="AI270" s="29" t="s">
        <v>419</v>
      </c>
      <c r="AJ270" s="17">
        <f>IF(AN270=0,K270,0)</f>
        <v>0</v>
      </c>
      <c r="AK270" s="17">
        <f>IF(AN270=15,K270,0)</f>
        <v>0</v>
      </c>
      <c r="AL270" s="17">
        <f>IF(AN270=21,K270,0)</f>
        <v>0</v>
      </c>
      <c r="AN270" s="35">
        <v>21</v>
      </c>
      <c r="AO270" s="35">
        <f>H270*0.0149469126997195</f>
        <v>0</v>
      </c>
      <c r="AP270" s="35">
        <f>H270*(1-0.0149469126997195)</f>
        <v>0</v>
      </c>
      <c r="AQ270" s="30" t="s">
        <v>7</v>
      </c>
      <c r="AV270" s="35">
        <f>AW270+AX270</f>
        <v>0</v>
      </c>
      <c r="AW270" s="35">
        <f>G270*AO270</f>
        <v>0</v>
      </c>
      <c r="AX270" s="35">
        <f>G270*AP270</f>
        <v>0</v>
      </c>
      <c r="AY270" s="36" t="s">
        <v>425</v>
      </c>
      <c r="AZ270" s="36" t="s">
        <v>448</v>
      </c>
      <c r="BA270" s="29" t="s">
        <v>451</v>
      </c>
      <c r="BC270" s="35">
        <f>AW270+AX270</f>
        <v>0</v>
      </c>
      <c r="BD270" s="35">
        <f>H270/(100-BE270)*100</f>
        <v>0</v>
      </c>
      <c r="BE270" s="35">
        <v>0</v>
      </c>
      <c r="BF270" s="35">
        <f>270</f>
        <v>270</v>
      </c>
      <c r="BH270" s="17">
        <f>G270*AO270</f>
        <v>0</v>
      </c>
      <c r="BI270" s="17">
        <f>G270*AP270</f>
        <v>0</v>
      </c>
      <c r="BJ270" s="17">
        <f>G270*H270</f>
        <v>0</v>
      </c>
    </row>
    <row r="271" spans="3:7" ht="12.75">
      <c r="C271" s="67" t="s">
        <v>366</v>
      </c>
      <c r="D271" s="68"/>
      <c r="E271" s="68"/>
      <c r="G271" s="18">
        <v>1495.01</v>
      </c>
    </row>
    <row r="272" spans="1:62" ht="12.75">
      <c r="A272" s="5" t="s">
        <v>63</v>
      </c>
      <c r="B272" s="5" t="s">
        <v>139</v>
      </c>
      <c r="C272" s="69" t="s">
        <v>367</v>
      </c>
      <c r="D272" s="70"/>
      <c r="E272" s="70"/>
      <c r="F272" s="5" t="s">
        <v>384</v>
      </c>
      <c r="G272" s="17">
        <f>'Stavební rozpočet'!G279</f>
        <v>10.8</v>
      </c>
      <c r="H272" s="17">
        <f>'Stavební rozpočet'!H279</f>
        <v>0</v>
      </c>
      <c r="I272" s="17">
        <f>G272*AO272</f>
        <v>0</v>
      </c>
      <c r="J272" s="17">
        <f>G272*AP272</f>
        <v>0</v>
      </c>
      <c r="K272" s="17">
        <f>G272*H272</f>
        <v>0</v>
      </c>
      <c r="L272" s="30" t="s">
        <v>407</v>
      </c>
      <c r="Z272" s="35">
        <f>IF(AQ272="5",BJ272,0)</f>
        <v>0</v>
      </c>
      <c r="AB272" s="35">
        <f>IF(AQ272="1",BH272,0)</f>
        <v>0</v>
      </c>
      <c r="AC272" s="35">
        <f>IF(AQ272="1",BI272,0)</f>
        <v>0</v>
      </c>
      <c r="AD272" s="35">
        <f>IF(AQ272="7",BH272,0)</f>
        <v>0</v>
      </c>
      <c r="AE272" s="35">
        <f>IF(AQ272="7",BI272,0)</f>
        <v>0</v>
      </c>
      <c r="AF272" s="35">
        <f>IF(AQ272="2",BH272,0)</f>
        <v>0</v>
      </c>
      <c r="AG272" s="35">
        <f>IF(AQ272="2",BI272,0)</f>
        <v>0</v>
      </c>
      <c r="AH272" s="35">
        <f>IF(AQ272="0",BJ272,0)</f>
        <v>0</v>
      </c>
      <c r="AI272" s="29" t="s">
        <v>419</v>
      </c>
      <c r="AJ272" s="17">
        <f>IF(AN272=0,K272,0)</f>
        <v>0</v>
      </c>
      <c r="AK272" s="17">
        <f>IF(AN272=15,K272,0)</f>
        <v>0</v>
      </c>
      <c r="AL272" s="17">
        <f>IF(AN272=21,K272,0)</f>
        <v>0</v>
      </c>
      <c r="AN272" s="35">
        <v>21</v>
      </c>
      <c r="AO272" s="35">
        <f>H272*0.115620437956204</f>
        <v>0</v>
      </c>
      <c r="AP272" s="35">
        <f>H272*(1-0.115620437956204)</f>
        <v>0</v>
      </c>
      <c r="AQ272" s="30" t="s">
        <v>7</v>
      </c>
      <c r="AV272" s="35">
        <f>AW272+AX272</f>
        <v>0</v>
      </c>
      <c r="AW272" s="35">
        <f>G272*AO272</f>
        <v>0</v>
      </c>
      <c r="AX272" s="35">
        <f>G272*AP272</f>
        <v>0</v>
      </c>
      <c r="AY272" s="36" t="s">
        <v>426</v>
      </c>
      <c r="AZ272" s="36" t="s">
        <v>448</v>
      </c>
      <c r="BA272" s="29" t="s">
        <v>451</v>
      </c>
      <c r="BC272" s="35">
        <f>AW272+AX272</f>
        <v>0</v>
      </c>
      <c r="BD272" s="35">
        <f>H272/(100-BE272)*100</f>
        <v>0</v>
      </c>
      <c r="BE272" s="35">
        <v>0</v>
      </c>
      <c r="BF272" s="35">
        <f>272</f>
        <v>272</v>
      </c>
      <c r="BH272" s="17">
        <f>G272*AO272</f>
        <v>0</v>
      </c>
      <c r="BI272" s="17">
        <f>G272*AP272</f>
        <v>0</v>
      </c>
      <c r="BJ272" s="17">
        <f>G272*H272</f>
        <v>0</v>
      </c>
    </row>
    <row r="273" spans="3:7" ht="12.75">
      <c r="C273" s="67" t="s">
        <v>368</v>
      </c>
      <c r="D273" s="68"/>
      <c r="E273" s="68"/>
      <c r="G273" s="18">
        <v>10.8</v>
      </c>
    </row>
    <row r="274" spans="1:62" ht="12.75">
      <c r="A274" s="5" t="s">
        <v>64</v>
      </c>
      <c r="B274" s="5" t="s">
        <v>140</v>
      </c>
      <c r="C274" s="69" t="s">
        <v>369</v>
      </c>
      <c r="D274" s="70"/>
      <c r="E274" s="70"/>
      <c r="F274" s="5" t="s">
        <v>384</v>
      </c>
      <c r="G274" s="17">
        <f>'Stavební rozpočet'!G282</f>
        <v>3437.028</v>
      </c>
      <c r="H274" s="17">
        <f>'Stavební rozpočet'!H282</f>
        <v>0</v>
      </c>
      <c r="I274" s="17">
        <f>G274*AO274</f>
        <v>0</v>
      </c>
      <c r="J274" s="17">
        <f>G274*AP274</f>
        <v>0</v>
      </c>
      <c r="K274" s="17">
        <f>G274*H274</f>
        <v>0</v>
      </c>
      <c r="L274" s="30" t="s">
        <v>407</v>
      </c>
      <c r="Z274" s="35">
        <f>IF(AQ274="5",BJ274,0)</f>
        <v>0</v>
      </c>
      <c r="AB274" s="35">
        <f>IF(AQ274="1",BH274,0)</f>
        <v>0</v>
      </c>
      <c r="AC274" s="35">
        <f>IF(AQ274="1",BI274,0)</f>
        <v>0</v>
      </c>
      <c r="AD274" s="35">
        <f>IF(AQ274="7",BH274,0)</f>
        <v>0</v>
      </c>
      <c r="AE274" s="35">
        <f>IF(AQ274="7",BI274,0)</f>
        <v>0</v>
      </c>
      <c r="AF274" s="35">
        <f>IF(AQ274="2",BH274,0)</f>
        <v>0</v>
      </c>
      <c r="AG274" s="35">
        <f>IF(AQ274="2",BI274,0)</f>
        <v>0</v>
      </c>
      <c r="AH274" s="35">
        <f>IF(AQ274="0",BJ274,0)</f>
        <v>0</v>
      </c>
      <c r="AI274" s="29" t="s">
        <v>419</v>
      </c>
      <c r="AJ274" s="17">
        <f>IF(AN274=0,K274,0)</f>
        <v>0</v>
      </c>
      <c r="AK274" s="17">
        <f>IF(AN274=15,K274,0)</f>
        <v>0</v>
      </c>
      <c r="AL274" s="17">
        <f>IF(AN274=21,K274,0)</f>
        <v>0</v>
      </c>
      <c r="AN274" s="35">
        <v>21</v>
      </c>
      <c r="AO274" s="35">
        <f>H274*0</f>
        <v>0</v>
      </c>
      <c r="AP274" s="35">
        <f>H274*(1-0)</f>
        <v>0</v>
      </c>
      <c r="AQ274" s="30" t="s">
        <v>7</v>
      </c>
      <c r="AV274" s="35">
        <f>AW274+AX274</f>
        <v>0</v>
      </c>
      <c r="AW274" s="35">
        <f>G274*AO274</f>
        <v>0</v>
      </c>
      <c r="AX274" s="35">
        <f>G274*AP274</f>
        <v>0</v>
      </c>
      <c r="AY274" s="36" t="s">
        <v>427</v>
      </c>
      <c r="AZ274" s="36" t="s">
        <v>448</v>
      </c>
      <c r="BA274" s="29" t="s">
        <v>451</v>
      </c>
      <c r="BC274" s="35">
        <f>AW274+AX274</f>
        <v>0</v>
      </c>
      <c r="BD274" s="35">
        <f>H274/(100-BE274)*100</f>
        <v>0</v>
      </c>
      <c r="BE274" s="35">
        <v>0</v>
      </c>
      <c r="BF274" s="35">
        <f>274</f>
        <v>274</v>
      </c>
      <c r="BH274" s="17">
        <f>G274*AO274</f>
        <v>0</v>
      </c>
      <c r="BI274" s="17">
        <f>G274*AP274</f>
        <v>0</v>
      </c>
      <c r="BJ274" s="17">
        <f>G274*H274</f>
        <v>0</v>
      </c>
    </row>
    <row r="275" spans="3:7" ht="12.75">
      <c r="C275" s="67" t="s">
        <v>370</v>
      </c>
      <c r="D275" s="68"/>
      <c r="E275" s="68"/>
      <c r="G275" s="18">
        <v>3437.028</v>
      </c>
    </row>
    <row r="276" spans="1:62" ht="12.75">
      <c r="A276" s="5" t="s">
        <v>65</v>
      </c>
      <c r="B276" s="5" t="s">
        <v>141</v>
      </c>
      <c r="C276" s="69" t="s">
        <v>371</v>
      </c>
      <c r="D276" s="70"/>
      <c r="E276" s="70"/>
      <c r="F276" s="5" t="s">
        <v>383</v>
      </c>
      <c r="G276" s="17">
        <f>'Stavební rozpočet'!G285</f>
        <v>14.301</v>
      </c>
      <c r="H276" s="17">
        <f>'Stavební rozpočet'!H285</f>
        <v>0</v>
      </c>
      <c r="I276" s="17">
        <f>G276*AO276</f>
        <v>0</v>
      </c>
      <c r="J276" s="17">
        <f>G276*AP276</f>
        <v>0</v>
      </c>
      <c r="K276" s="17">
        <f>G276*H276</f>
        <v>0</v>
      </c>
      <c r="L276" s="30" t="s">
        <v>407</v>
      </c>
      <c r="Z276" s="35">
        <f>IF(AQ276="5",BJ276,0)</f>
        <v>0</v>
      </c>
      <c r="AB276" s="35">
        <f>IF(AQ276="1",BH276,0)</f>
        <v>0</v>
      </c>
      <c r="AC276" s="35">
        <f>IF(AQ276="1",BI276,0)</f>
        <v>0</v>
      </c>
      <c r="AD276" s="35">
        <f>IF(AQ276="7",BH276,0)</f>
        <v>0</v>
      </c>
      <c r="AE276" s="35">
        <f>IF(AQ276="7",BI276,0)</f>
        <v>0</v>
      </c>
      <c r="AF276" s="35">
        <f>IF(AQ276="2",BH276,0)</f>
        <v>0</v>
      </c>
      <c r="AG276" s="35">
        <f>IF(AQ276="2",BI276,0)</f>
        <v>0</v>
      </c>
      <c r="AH276" s="35">
        <f>IF(AQ276="0",BJ276,0)</f>
        <v>0</v>
      </c>
      <c r="AI276" s="29" t="s">
        <v>419</v>
      </c>
      <c r="AJ276" s="17">
        <f>IF(AN276=0,K276,0)</f>
        <v>0</v>
      </c>
      <c r="AK276" s="17">
        <f>IF(AN276=15,K276,0)</f>
        <v>0</v>
      </c>
      <c r="AL276" s="17">
        <f>IF(AN276=21,K276,0)</f>
        <v>0</v>
      </c>
      <c r="AN276" s="35">
        <v>21</v>
      </c>
      <c r="AO276" s="35">
        <f>H276*0</f>
        <v>0</v>
      </c>
      <c r="AP276" s="35">
        <f>H276*(1-0)</f>
        <v>0</v>
      </c>
      <c r="AQ276" s="30" t="s">
        <v>11</v>
      </c>
      <c r="AV276" s="35">
        <f>AW276+AX276</f>
        <v>0</v>
      </c>
      <c r="AW276" s="35">
        <f>G276*AO276</f>
        <v>0</v>
      </c>
      <c r="AX276" s="35">
        <f>G276*AP276</f>
        <v>0</v>
      </c>
      <c r="AY276" s="36" t="s">
        <v>428</v>
      </c>
      <c r="AZ276" s="36" t="s">
        <v>448</v>
      </c>
      <c r="BA276" s="29" t="s">
        <v>451</v>
      </c>
      <c r="BC276" s="35">
        <f>AW276+AX276</f>
        <v>0</v>
      </c>
      <c r="BD276" s="35">
        <f>H276/(100-BE276)*100</f>
        <v>0</v>
      </c>
      <c r="BE276" s="35">
        <v>0</v>
      </c>
      <c r="BF276" s="35">
        <f>276</f>
        <v>276</v>
      </c>
      <c r="BH276" s="17">
        <f>G276*AO276</f>
        <v>0</v>
      </c>
      <c r="BI276" s="17">
        <f>G276*AP276</f>
        <v>0</v>
      </c>
      <c r="BJ276" s="17">
        <f>G276*H276</f>
        <v>0</v>
      </c>
    </row>
    <row r="277" spans="3:7" ht="12.75">
      <c r="C277" s="67" t="s">
        <v>372</v>
      </c>
      <c r="D277" s="68"/>
      <c r="E277" s="68"/>
      <c r="G277" s="18">
        <v>14.301</v>
      </c>
    </row>
    <row r="278" spans="1:62" ht="12.75">
      <c r="A278" s="5" t="s">
        <v>66</v>
      </c>
      <c r="B278" s="5" t="s">
        <v>106</v>
      </c>
      <c r="C278" s="69" t="s">
        <v>205</v>
      </c>
      <c r="D278" s="70"/>
      <c r="E278" s="70"/>
      <c r="F278" s="5" t="s">
        <v>383</v>
      </c>
      <c r="G278" s="17">
        <f>'Stavební rozpočet'!G288</f>
        <v>6.881</v>
      </c>
      <c r="H278" s="17">
        <f>'Stavební rozpočet'!H288</f>
        <v>0</v>
      </c>
      <c r="I278" s="17">
        <f>G278*AO278</f>
        <v>0</v>
      </c>
      <c r="J278" s="17">
        <f>G278*AP278</f>
        <v>0</v>
      </c>
      <c r="K278" s="17">
        <f>G278*H278</f>
        <v>0</v>
      </c>
      <c r="L278" s="30" t="s">
        <v>407</v>
      </c>
      <c r="Z278" s="35">
        <f>IF(AQ278="5",BJ278,0)</f>
        <v>0</v>
      </c>
      <c r="AB278" s="35">
        <f>IF(AQ278="1",BH278,0)</f>
        <v>0</v>
      </c>
      <c r="AC278" s="35">
        <f>IF(AQ278="1",BI278,0)</f>
        <v>0</v>
      </c>
      <c r="AD278" s="35">
        <f>IF(AQ278="7",BH278,0)</f>
        <v>0</v>
      </c>
      <c r="AE278" s="35">
        <f>IF(AQ278="7",BI278,0)</f>
        <v>0</v>
      </c>
      <c r="AF278" s="35">
        <f>IF(AQ278="2",BH278,0)</f>
        <v>0</v>
      </c>
      <c r="AG278" s="35">
        <f>IF(AQ278="2",BI278,0)</f>
        <v>0</v>
      </c>
      <c r="AH278" s="35">
        <f>IF(AQ278="0",BJ278,0)</f>
        <v>0</v>
      </c>
      <c r="AI278" s="29" t="s">
        <v>419</v>
      </c>
      <c r="AJ278" s="17">
        <f>IF(AN278=0,K278,0)</f>
        <v>0</v>
      </c>
      <c r="AK278" s="17">
        <f>IF(AN278=15,K278,0)</f>
        <v>0</v>
      </c>
      <c r="AL278" s="17">
        <f>IF(AN278=21,K278,0)</f>
        <v>0</v>
      </c>
      <c r="AN278" s="35">
        <v>21</v>
      </c>
      <c r="AO278" s="35">
        <f>H278*0</f>
        <v>0</v>
      </c>
      <c r="AP278" s="35">
        <f>H278*(1-0)</f>
        <v>0</v>
      </c>
      <c r="AQ278" s="30" t="s">
        <v>11</v>
      </c>
      <c r="AV278" s="35">
        <f>AW278+AX278</f>
        <v>0</v>
      </c>
      <c r="AW278" s="35">
        <f>G278*AO278</f>
        <v>0</v>
      </c>
      <c r="AX278" s="35">
        <f>G278*AP278</f>
        <v>0</v>
      </c>
      <c r="AY278" s="36" t="s">
        <v>429</v>
      </c>
      <c r="AZ278" s="36" t="s">
        <v>448</v>
      </c>
      <c r="BA278" s="29" t="s">
        <v>451</v>
      </c>
      <c r="BC278" s="35">
        <f>AW278+AX278</f>
        <v>0</v>
      </c>
      <c r="BD278" s="35">
        <f>H278/(100-BE278)*100</f>
        <v>0</v>
      </c>
      <c r="BE278" s="35">
        <v>0</v>
      </c>
      <c r="BF278" s="35">
        <f>278</f>
        <v>278</v>
      </c>
      <c r="BH278" s="17">
        <f>G278*AO278</f>
        <v>0</v>
      </c>
      <c r="BI278" s="17">
        <f>G278*AP278</f>
        <v>0</v>
      </c>
      <c r="BJ278" s="17">
        <f>G278*H278</f>
        <v>0</v>
      </c>
    </row>
    <row r="279" spans="3:7" ht="12.75">
      <c r="C279" s="67" t="s">
        <v>373</v>
      </c>
      <c r="D279" s="68"/>
      <c r="E279" s="68"/>
      <c r="G279" s="18">
        <v>6.881</v>
      </c>
    </row>
    <row r="280" spans="1:62" ht="12.75">
      <c r="A280" s="5" t="s">
        <v>67</v>
      </c>
      <c r="B280" s="5" t="s">
        <v>107</v>
      </c>
      <c r="C280" s="69" t="s">
        <v>207</v>
      </c>
      <c r="D280" s="70"/>
      <c r="E280" s="70"/>
      <c r="F280" s="5" t="s">
        <v>383</v>
      </c>
      <c r="G280" s="17">
        <f>'Stavební rozpočet'!G290</f>
        <v>6.881</v>
      </c>
      <c r="H280" s="17">
        <f>'Stavební rozpočet'!H290</f>
        <v>0</v>
      </c>
      <c r="I280" s="17">
        <f>G280*AO280</f>
        <v>0</v>
      </c>
      <c r="J280" s="17">
        <f>G280*AP280</f>
        <v>0</v>
      </c>
      <c r="K280" s="17">
        <f>G280*H280</f>
        <v>0</v>
      </c>
      <c r="L280" s="30" t="s">
        <v>407</v>
      </c>
      <c r="Z280" s="35">
        <f>IF(AQ280="5",BJ280,0)</f>
        <v>0</v>
      </c>
      <c r="AB280" s="35">
        <f>IF(AQ280="1",BH280,0)</f>
        <v>0</v>
      </c>
      <c r="AC280" s="35">
        <f>IF(AQ280="1",BI280,0)</f>
        <v>0</v>
      </c>
      <c r="AD280" s="35">
        <f>IF(AQ280="7",BH280,0)</f>
        <v>0</v>
      </c>
      <c r="AE280" s="35">
        <f>IF(AQ280="7",BI280,0)</f>
        <v>0</v>
      </c>
      <c r="AF280" s="35">
        <f>IF(AQ280="2",BH280,0)</f>
        <v>0</v>
      </c>
      <c r="AG280" s="35">
        <f>IF(AQ280="2",BI280,0)</f>
        <v>0</v>
      </c>
      <c r="AH280" s="35">
        <f>IF(AQ280="0",BJ280,0)</f>
        <v>0</v>
      </c>
      <c r="AI280" s="29" t="s">
        <v>419</v>
      </c>
      <c r="AJ280" s="17">
        <f>IF(AN280=0,K280,0)</f>
        <v>0</v>
      </c>
      <c r="AK280" s="17">
        <f>IF(AN280=15,K280,0)</f>
        <v>0</v>
      </c>
      <c r="AL280" s="17">
        <f>IF(AN280=21,K280,0)</f>
        <v>0</v>
      </c>
      <c r="AN280" s="35">
        <v>21</v>
      </c>
      <c r="AO280" s="35">
        <f>H280*0.00934995992667041</f>
        <v>0</v>
      </c>
      <c r="AP280" s="35">
        <f>H280*(1-0.00934995992667041)</f>
        <v>0</v>
      </c>
      <c r="AQ280" s="30" t="s">
        <v>11</v>
      </c>
      <c r="AV280" s="35">
        <f>AW280+AX280</f>
        <v>0</v>
      </c>
      <c r="AW280" s="35">
        <f>G280*AO280</f>
        <v>0</v>
      </c>
      <c r="AX280" s="35">
        <f>G280*AP280</f>
        <v>0</v>
      </c>
      <c r="AY280" s="36" t="s">
        <v>429</v>
      </c>
      <c r="AZ280" s="36" t="s">
        <v>448</v>
      </c>
      <c r="BA280" s="29" t="s">
        <v>451</v>
      </c>
      <c r="BC280" s="35">
        <f>AW280+AX280</f>
        <v>0</v>
      </c>
      <c r="BD280" s="35">
        <f>H280/(100-BE280)*100</f>
        <v>0</v>
      </c>
      <c r="BE280" s="35">
        <v>0</v>
      </c>
      <c r="BF280" s="35">
        <f>280</f>
        <v>280</v>
      </c>
      <c r="BH280" s="17">
        <f>G280*AO280</f>
        <v>0</v>
      </c>
      <c r="BI280" s="17">
        <f>G280*AP280</f>
        <v>0</v>
      </c>
      <c r="BJ280" s="17">
        <f>G280*H280</f>
        <v>0</v>
      </c>
    </row>
    <row r="281" spans="3:7" ht="12.75">
      <c r="C281" s="67" t="s">
        <v>374</v>
      </c>
      <c r="D281" s="68"/>
      <c r="E281" s="68"/>
      <c r="G281" s="18">
        <v>6.881</v>
      </c>
    </row>
    <row r="282" spans="1:62" ht="12.75">
      <c r="A282" s="5" t="s">
        <v>68</v>
      </c>
      <c r="B282" s="5" t="s">
        <v>108</v>
      </c>
      <c r="C282" s="69" t="s">
        <v>209</v>
      </c>
      <c r="D282" s="70"/>
      <c r="E282" s="70"/>
      <c r="F282" s="5" t="s">
        <v>383</v>
      </c>
      <c r="G282" s="17">
        <f>'Stavební rozpočet'!G292</f>
        <v>6.881</v>
      </c>
      <c r="H282" s="17">
        <f>'Stavební rozpočet'!H292</f>
        <v>0</v>
      </c>
      <c r="I282" s="17">
        <f>G282*AO282</f>
        <v>0</v>
      </c>
      <c r="J282" s="17">
        <f>G282*AP282</f>
        <v>0</v>
      </c>
      <c r="K282" s="17">
        <f>G282*H282</f>
        <v>0</v>
      </c>
      <c r="L282" s="30" t="s">
        <v>407</v>
      </c>
      <c r="Z282" s="35">
        <f>IF(AQ282="5",BJ282,0)</f>
        <v>0</v>
      </c>
      <c r="AB282" s="35">
        <f>IF(AQ282="1",BH282,0)</f>
        <v>0</v>
      </c>
      <c r="AC282" s="35">
        <f>IF(AQ282="1",BI282,0)</f>
        <v>0</v>
      </c>
      <c r="AD282" s="35">
        <f>IF(AQ282="7",BH282,0)</f>
        <v>0</v>
      </c>
      <c r="AE282" s="35">
        <f>IF(AQ282="7",BI282,0)</f>
        <v>0</v>
      </c>
      <c r="AF282" s="35">
        <f>IF(AQ282="2",BH282,0)</f>
        <v>0</v>
      </c>
      <c r="AG282" s="35">
        <f>IF(AQ282="2",BI282,0)</f>
        <v>0</v>
      </c>
      <c r="AH282" s="35">
        <f>IF(AQ282="0",BJ282,0)</f>
        <v>0</v>
      </c>
      <c r="AI282" s="29" t="s">
        <v>419</v>
      </c>
      <c r="AJ282" s="17">
        <f>IF(AN282=0,K282,0)</f>
        <v>0</v>
      </c>
      <c r="AK282" s="17">
        <f>IF(AN282=15,K282,0)</f>
        <v>0</v>
      </c>
      <c r="AL282" s="17">
        <f>IF(AN282=21,K282,0)</f>
        <v>0</v>
      </c>
      <c r="AN282" s="35">
        <v>21</v>
      </c>
      <c r="AO282" s="35">
        <f>H282*0</f>
        <v>0</v>
      </c>
      <c r="AP282" s="35">
        <f>H282*(1-0)</f>
        <v>0</v>
      </c>
      <c r="AQ282" s="30" t="s">
        <v>11</v>
      </c>
      <c r="AV282" s="35">
        <f>AW282+AX282</f>
        <v>0</v>
      </c>
      <c r="AW282" s="35">
        <f>G282*AO282</f>
        <v>0</v>
      </c>
      <c r="AX282" s="35">
        <f>G282*AP282</f>
        <v>0</v>
      </c>
      <c r="AY282" s="36" t="s">
        <v>429</v>
      </c>
      <c r="AZ282" s="36" t="s">
        <v>448</v>
      </c>
      <c r="BA282" s="29" t="s">
        <v>451</v>
      </c>
      <c r="BC282" s="35">
        <f>AW282+AX282</f>
        <v>0</v>
      </c>
      <c r="BD282" s="35">
        <f>H282/(100-BE282)*100</f>
        <v>0</v>
      </c>
      <c r="BE282" s="35">
        <v>0</v>
      </c>
      <c r="BF282" s="35">
        <f>282</f>
        <v>282</v>
      </c>
      <c r="BH282" s="17">
        <f>G282*AO282</f>
        <v>0</v>
      </c>
      <c r="BI282" s="17">
        <f>G282*AP282</f>
        <v>0</v>
      </c>
      <c r="BJ282" s="17">
        <f>G282*H282</f>
        <v>0</v>
      </c>
    </row>
    <row r="283" spans="3:7" ht="12.75">
      <c r="C283" s="67" t="s">
        <v>374</v>
      </c>
      <c r="D283" s="68"/>
      <c r="E283" s="68"/>
      <c r="G283" s="18">
        <v>6.881</v>
      </c>
    </row>
    <row r="284" spans="1:62" ht="12.75">
      <c r="A284" s="5" t="s">
        <v>69</v>
      </c>
      <c r="B284" s="5" t="s">
        <v>109</v>
      </c>
      <c r="C284" s="69" t="s">
        <v>210</v>
      </c>
      <c r="D284" s="70"/>
      <c r="E284" s="70"/>
      <c r="F284" s="5" t="s">
        <v>383</v>
      </c>
      <c r="G284" s="17">
        <f>'Stavební rozpočet'!G294</f>
        <v>6.881</v>
      </c>
      <c r="H284" s="17">
        <f>'Stavební rozpočet'!H294</f>
        <v>0</v>
      </c>
      <c r="I284" s="17">
        <f>G284*AO284</f>
        <v>0</v>
      </c>
      <c r="J284" s="17">
        <f>G284*AP284</f>
        <v>0</v>
      </c>
      <c r="K284" s="17">
        <f>G284*H284</f>
        <v>0</v>
      </c>
      <c r="L284" s="30" t="s">
        <v>407</v>
      </c>
      <c r="Z284" s="35">
        <f>IF(AQ284="5",BJ284,0)</f>
        <v>0</v>
      </c>
      <c r="AB284" s="35">
        <f>IF(AQ284="1",BH284,0)</f>
        <v>0</v>
      </c>
      <c r="AC284" s="35">
        <f>IF(AQ284="1",BI284,0)</f>
        <v>0</v>
      </c>
      <c r="AD284" s="35">
        <f>IF(AQ284="7",BH284,0)</f>
        <v>0</v>
      </c>
      <c r="AE284" s="35">
        <f>IF(AQ284="7",BI284,0)</f>
        <v>0</v>
      </c>
      <c r="AF284" s="35">
        <f>IF(AQ284="2",BH284,0)</f>
        <v>0</v>
      </c>
      <c r="AG284" s="35">
        <f>IF(AQ284="2",BI284,0)</f>
        <v>0</v>
      </c>
      <c r="AH284" s="35">
        <f>IF(AQ284="0",BJ284,0)</f>
        <v>0</v>
      </c>
      <c r="AI284" s="29" t="s">
        <v>419</v>
      </c>
      <c r="AJ284" s="17">
        <f>IF(AN284=0,K284,0)</f>
        <v>0</v>
      </c>
      <c r="AK284" s="17">
        <f>IF(AN284=15,K284,0)</f>
        <v>0</v>
      </c>
      <c r="AL284" s="17">
        <f>IF(AN284=21,K284,0)</f>
        <v>0</v>
      </c>
      <c r="AN284" s="35">
        <v>21</v>
      </c>
      <c r="AO284" s="35">
        <f>H284*0</f>
        <v>0</v>
      </c>
      <c r="AP284" s="35">
        <f>H284*(1-0)</f>
        <v>0</v>
      </c>
      <c r="AQ284" s="30" t="s">
        <v>11</v>
      </c>
      <c r="AV284" s="35">
        <f>AW284+AX284</f>
        <v>0</v>
      </c>
      <c r="AW284" s="35">
        <f>G284*AO284</f>
        <v>0</v>
      </c>
      <c r="AX284" s="35">
        <f>G284*AP284</f>
        <v>0</v>
      </c>
      <c r="AY284" s="36" t="s">
        <v>429</v>
      </c>
      <c r="AZ284" s="36" t="s">
        <v>448</v>
      </c>
      <c r="BA284" s="29" t="s">
        <v>451</v>
      </c>
      <c r="BC284" s="35">
        <f>AW284+AX284</f>
        <v>0</v>
      </c>
      <c r="BD284" s="35">
        <f>H284/(100-BE284)*100</f>
        <v>0</v>
      </c>
      <c r="BE284" s="35">
        <v>0</v>
      </c>
      <c r="BF284" s="35">
        <f>284</f>
        <v>284</v>
      </c>
      <c r="BH284" s="17">
        <f>G284*AO284</f>
        <v>0</v>
      </c>
      <c r="BI284" s="17">
        <f>G284*AP284</f>
        <v>0</v>
      </c>
      <c r="BJ284" s="17">
        <f>G284*H284</f>
        <v>0</v>
      </c>
    </row>
    <row r="285" spans="1:12" ht="12.75">
      <c r="A285" s="8"/>
      <c r="B285" s="8"/>
      <c r="C285" s="71" t="s">
        <v>374</v>
      </c>
      <c r="D285" s="72"/>
      <c r="E285" s="72"/>
      <c r="F285" s="8"/>
      <c r="G285" s="20">
        <v>6.881</v>
      </c>
      <c r="H285" s="8"/>
      <c r="I285" s="8"/>
      <c r="J285" s="8"/>
      <c r="K285" s="8"/>
      <c r="L285" s="8"/>
    </row>
    <row r="286" spans="1:12" ht="12.75">
      <c r="A286" s="9"/>
      <c r="B286" s="9"/>
      <c r="C286" s="9"/>
      <c r="D286" s="9"/>
      <c r="E286" s="9"/>
      <c r="F286" s="9"/>
      <c r="G286" s="9"/>
      <c r="H286" s="9"/>
      <c r="I286" s="73" t="s">
        <v>402</v>
      </c>
      <c r="J286" s="74"/>
      <c r="K286" s="40">
        <f>K13+K16+K27+K42+K51+K79+K84+K109+K112+K118+K253+K256+K269</f>
        <v>150000</v>
      </c>
      <c r="L286" s="9"/>
    </row>
    <row r="287" ht="11.25" customHeight="1">
      <c r="A287" s="10" t="s">
        <v>70</v>
      </c>
    </row>
    <row r="288" spans="1:12" ht="12.75">
      <c r="A288" s="65"/>
      <c r="B288" s="66"/>
      <c r="C288" s="66"/>
      <c r="D288" s="66"/>
      <c r="E288" s="66"/>
      <c r="F288" s="66"/>
      <c r="G288" s="66"/>
      <c r="H288" s="66"/>
      <c r="I288" s="66"/>
      <c r="J288" s="66"/>
      <c r="K288" s="66"/>
      <c r="L288" s="66"/>
    </row>
  </sheetData>
  <sheetProtection/>
  <mergeCells count="304">
    <mergeCell ref="A1:L1"/>
    <mergeCell ref="A2:B3"/>
    <mergeCell ref="C2:C3"/>
    <mergeCell ref="D2:E3"/>
    <mergeCell ref="F2:G3"/>
    <mergeCell ref="H2:H3"/>
    <mergeCell ref="I2:L3"/>
    <mergeCell ref="A4:B5"/>
    <mergeCell ref="C4:C5"/>
    <mergeCell ref="D4:E5"/>
    <mergeCell ref="F4:G5"/>
    <mergeCell ref="H4:H5"/>
    <mergeCell ref="I4:L5"/>
    <mergeCell ref="A6:B7"/>
    <mergeCell ref="C6:C7"/>
    <mergeCell ref="D6:E7"/>
    <mergeCell ref="F6:G7"/>
    <mergeCell ref="H6:H7"/>
    <mergeCell ref="I6:L7"/>
    <mergeCell ref="A8:B9"/>
    <mergeCell ref="C8:C9"/>
    <mergeCell ref="D8:E9"/>
    <mergeCell ref="F8:G9"/>
    <mergeCell ref="H8:H9"/>
    <mergeCell ref="I8:L9"/>
    <mergeCell ref="C10:E10"/>
    <mergeCell ref="I10:K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  <mergeCell ref="C24:E24"/>
    <mergeCell ref="C25:E25"/>
    <mergeCell ref="C26:E26"/>
    <mergeCell ref="C27:E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38:E38"/>
    <mergeCell ref="C39:E39"/>
    <mergeCell ref="C40:E40"/>
    <mergeCell ref="C41:E41"/>
    <mergeCell ref="C42:E42"/>
    <mergeCell ref="C43:E43"/>
    <mergeCell ref="C44:E44"/>
    <mergeCell ref="C45:E45"/>
    <mergeCell ref="C46:E46"/>
    <mergeCell ref="C47:E47"/>
    <mergeCell ref="C48:E48"/>
    <mergeCell ref="C49:E49"/>
    <mergeCell ref="C50:E50"/>
    <mergeCell ref="C51:E51"/>
    <mergeCell ref="C52:E52"/>
    <mergeCell ref="C53:E53"/>
    <mergeCell ref="C54:E54"/>
    <mergeCell ref="C55:E55"/>
    <mergeCell ref="C56:E56"/>
    <mergeCell ref="C57:E57"/>
    <mergeCell ref="C58:E58"/>
    <mergeCell ref="C59:E59"/>
    <mergeCell ref="C60:E60"/>
    <mergeCell ref="C61:E61"/>
    <mergeCell ref="C62:E62"/>
    <mergeCell ref="C63:E63"/>
    <mergeCell ref="C64:E64"/>
    <mergeCell ref="C65:E65"/>
    <mergeCell ref="C66:E66"/>
    <mergeCell ref="C67:E67"/>
    <mergeCell ref="C68:E68"/>
    <mergeCell ref="C69:E69"/>
    <mergeCell ref="C70:E70"/>
    <mergeCell ref="C71:E71"/>
    <mergeCell ref="C72:E72"/>
    <mergeCell ref="C73:E73"/>
    <mergeCell ref="C74:E74"/>
    <mergeCell ref="C75:E75"/>
    <mergeCell ref="C76:E76"/>
    <mergeCell ref="C77:E77"/>
    <mergeCell ref="C78:E78"/>
    <mergeCell ref="C79:E79"/>
    <mergeCell ref="C80:E80"/>
    <mergeCell ref="C81:E81"/>
    <mergeCell ref="C82:E82"/>
    <mergeCell ref="C83:E83"/>
    <mergeCell ref="C84:E84"/>
    <mergeCell ref="C85:E85"/>
    <mergeCell ref="C86:E86"/>
    <mergeCell ref="C87:E87"/>
    <mergeCell ref="C88:E88"/>
    <mergeCell ref="C89:E89"/>
    <mergeCell ref="C90:E90"/>
    <mergeCell ref="C91:E91"/>
    <mergeCell ref="C92:E92"/>
    <mergeCell ref="C93:E93"/>
    <mergeCell ref="C94:E94"/>
    <mergeCell ref="C95:E95"/>
    <mergeCell ref="C96:E96"/>
    <mergeCell ref="C97:E97"/>
    <mergeCell ref="C98:E98"/>
    <mergeCell ref="C99:E99"/>
    <mergeCell ref="C100:E100"/>
    <mergeCell ref="C101:E101"/>
    <mergeCell ref="C102:E102"/>
    <mergeCell ref="C103:E103"/>
    <mergeCell ref="C104:E104"/>
    <mergeCell ref="C105:E105"/>
    <mergeCell ref="C106:E106"/>
    <mergeCell ref="C107:E107"/>
    <mergeCell ref="C108:E108"/>
    <mergeCell ref="C109:E109"/>
    <mergeCell ref="C110:E110"/>
    <mergeCell ref="C111:E111"/>
    <mergeCell ref="C112:E112"/>
    <mergeCell ref="C113:E113"/>
    <mergeCell ref="C114:E114"/>
    <mergeCell ref="C115:E115"/>
    <mergeCell ref="C116:E116"/>
    <mergeCell ref="C117:E117"/>
    <mergeCell ref="C118:E118"/>
    <mergeCell ref="C119:E119"/>
    <mergeCell ref="C120:E120"/>
    <mergeCell ref="C121:E121"/>
    <mergeCell ref="C122:E122"/>
    <mergeCell ref="C123:E123"/>
    <mergeCell ref="C124:E124"/>
    <mergeCell ref="C125:E125"/>
    <mergeCell ref="C126:E126"/>
    <mergeCell ref="C127:E127"/>
    <mergeCell ref="C128:E128"/>
    <mergeCell ref="C129:E129"/>
    <mergeCell ref="C130:E130"/>
    <mergeCell ref="C131:E131"/>
    <mergeCell ref="C132:E132"/>
    <mergeCell ref="C133:E133"/>
    <mergeCell ref="C134:E134"/>
    <mergeCell ref="C135:E135"/>
    <mergeCell ref="C136:E136"/>
    <mergeCell ref="C137:E137"/>
    <mergeCell ref="C138:E138"/>
    <mergeCell ref="C139:E139"/>
    <mergeCell ref="C140:E140"/>
    <mergeCell ref="C141:E141"/>
    <mergeCell ref="C142:E142"/>
    <mergeCell ref="C143:E143"/>
    <mergeCell ref="C144:E144"/>
    <mergeCell ref="C145:E145"/>
    <mergeCell ref="C146:E146"/>
    <mergeCell ref="C147:E147"/>
    <mergeCell ref="C148:E148"/>
    <mergeCell ref="C149:E149"/>
    <mergeCell ref="C150:E150"/>
    <mergeCell ref="C151:E151"/>
    <mergeCell ref="C152:E152"/>
    <mergeCell ref="C153:E153"/>
    <mergeCell ref="C154:E154"/>
    <mergeCell ref="C155:E155"/>
    <mergeCell ref="C156:E156"/>
    <mergeCell ref="C157:E157"/>
    <mergeCell ref="C158:E158"/>
    <mergeCell ref="C159:E159"/>
    <mergeCell ref="C160:E160"/>
    <mergeCell ref="C161:E161"/>
    <mergeCell ref="C162:E162"/>
    <mergeCell ref="C163:E163"/>
    <mergeCell ref="C164:E164"/>
    <mergeCell ref="C165:E165"/>
    <mergeCell ref="C166:E166"/>
    <mergeCell ref="C167:E167"/>
    <mergeCell ref="C168:E168"/>
    <mergeCell ref="C169:E169"/>
    <mergeCell ref="C170:E170"/>
    <mergeCell ref="C171:E171"/>
    <mergeCell ref="C172:E172"/>
    <mergeCell ref="C173:E173"/>
    <mergeCell ref="C174:E174"/>
    <mergeCell ref="C175:E175"/>
    <mergeCell ref="C176:E176"/>
    <mergeCell ref="C177:E177"/>
    <mergeCell ref="C178:E178"/>
    <mergeCell ref="C179:E179"/>
    <mergeCell ref="C180:E180"/>
    <mergeCell ref="C181:E181"/>
    <mergeCell ref="C182:E182"/>
    <mergeCell ref="C183:E183"/>
    <mergeCell ref="C184:E184"/>
    <mergeCell ref="C185:E185"/>
    <mergeCell ref="C186:E186"/>
    <mergeCell ref="C187:E187"/>
    <mergeCell ref="C188:E188"/>
    <mergeCell ref="C189:E189"/>
    <mergeCell ref="C190:E190"/>
    <mergeCell ref="C191:E191"/>
    <mergeCell ref="C192:E192"/>
    <mergeCell ref="C193:E193"/>
    <mergeCell ref="C194:E194"/>
    <mergeCell ref="C195:E195"/>
    <mergeCell ref="C196:E196"/>
    <mergeCell ref="C197:E197"/>
    <mergeCell ref="C198:E198"/>
    <mergeCell ref="C199:E199"/>
    <mergeCell ref="C200:E200"/>
    <mergeCell ref="C201:E201"/>
    <mergeCell ref="C202:E202"/>
    <mergeCell ref="C203:E203"/>
    <mergeCell ref="C204:E204"/>
    <mergeCell ref="C205:E205"/>
    <mergeCell ref="C206:E206"/>
    <mergeCell ref="C207:E207"/>
    <mergeCell ref="C208:E208"/>
    <mergeCell ref="C209:E209"/>
    <mergeCell ref="C210:E210"/>
    <mergeCell ref="C211:E211"/>
    <mergeCell ref="C212:E212"/>
    <mergeCell ref="C213:E213"/>
    <mergeCell ref="C214:E214"/>
    <mergeCell ref="C215:E215"/>
    <mergeCell ref="C216:E216"/>
    <mergeCell ref="C217:E217"/>
    <mergeCell ref="C218:E218"/>
    <mergeCell ref="C219:E219"/>
    <mergeCell ref="C220:E220"/>
    <mergeCell ref="C221:E221"/>
    <mergeCell ref="C222:E222"/>
    <mergeCell ref="C223:E223"/>
    <mergeCell ref="C224:E224"/>
    <mergeCell ref="C225:E225"/>
    <mergeCell ref="C226:E226"/>
    <mergeCell ref="C227:E227"/>
    <mergeCell ref="C228:E228"/>
    <mergeCell ref="C229:E229"/>
    <mergeCell ref="C230:E230"/>
    <mergeCell ref="C231:E231"/>
    <mergeCell ref="C232:E232"/>
    <mergeCell ref="C233:E233"/>
    <mergeCell ref="C234:E234"/>
    <mergeCell ref="C235:E235"/>
    <mergeCell ref="C236:E236"/>
    <mergeCell ref="C237:E237"/>
    <mergeCell ref="C238:E238"/>
    <mergeCell ref="C239:E239"/>
    <mergeCell ref="C240:E240"/>
    <mergeCell ref="C241:E241"/>
    <mergeCell ref="C242:E242"/>
    <mergeCell ref="C243:E243"/>
    <mergeCell ref="C244:E244"/>
    <mergeCell ref="C245:E245"/>
    <mergeCell ref="C246:E246"/>
    <mergeCell ref="C247:E247"/>
    <mergeCell ref="C248:E248"/>
    <mergeCell ref="C249:E249"/>
    <mergeCell ref="C250:E250"/>
    <mergeCell ref="C251:E251"/>
    <mergeCell ref="C252:E252"/>
    <mergeCell ref="C253:E253"/>
    <mergeCell ref="C254:E254"/>
    <mergeCell ref="C255:E255"/>
    <mergeCell ref="C256:E256"/>
    <mergeCell ref="C257:E257"/>
    <mergeCell ref="C258:E258"/>
    <mergeCell ref="C259:E259"/>
    <mergeCell ref="C260:E260"/>
    <mergeCell ref="C261:E261"/>
    <mergeCell ref="C262:E262"/>
    <mergeCell ref="C263:E263"/>
    <mergeCell ref="C264:E264"/>
    <mergeCell ref="C265:E265"/>
    <mergeCell ref="C266:E266"/>
    <mergeCell ref="C267:E267"/>
    <mergeCell ref="C268:E268"/>
    <mergeCell ref="C269:E269"/>
    <mergeCell ref="C270:E270"/>
    <mergeCell ref="C271:E271"/>
    <mergeCell ref="C272:E272"/>
    <mergeCell ref="C273:E273"/>
    <mergeCell ref="C274:E274"/>
    <mergeCell ref="C275:E275"/>
    <mergeCell ref="C276:E276"/>
    <mergeCell ref="C277:E277"/>
    <mergeCell ref="C278:E278"/>
    <mergeCell ref="C285:E285"/>
    <mergeCell ref="I286:J286"/>
    <mergeCell ref="A288:L288"/>
    <mergeCell ref="C279:E279"/>
    <mergeCell ref="C280:E280"/>
    <mergeCell ref="C281:E281"/>
    <mergeCell ref="C282:E282"/>
    <mergeCell ref="C283:E283"/>
    <mergeCell ref="C284:E284"/>
  </mergeCells>
  <printOptions/>
  <pageMargins left="0.394" right="0.394" top="0.591" bottom="0.591" header="0.5" footer="0.5"/>
  <pageSetup fitToHeight="0" fitToWidth="1" horizontalDpi="600" verticalDpi="6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6"/>
  <sheetViews>
    <sheetView zoomScalePageLayoutView="0" workbookViewId="0" topLeftCell="A1">
      <pane ySplit="10" topLeftCell="A26" activePane="bottomLeft" state="frozen"/>
      <selection pane="topLeft" activeCell="A1" sqref="A1"/>
      <selection pane="bottomLeft" activeCell="A1" sqref="A1:H1"/>
    </sheetView>
  </sheetViews>
  <sheetFormatPr defaultColWidth="11.57421875" defaultRowHeight="12.75"/>
  <cols>
    <col min="1" max="2" width="9.140625" style="0" customWidth="1"/>
    <col min="3" max="3" width="13.28125" style="0" customWidth="1"/>
    <col min="4" max="4" width="57.28125" style="0" customWidth="1"/>
    <col min="5" max="5" width="14.57421875" style="0" customWidth="1"/>
    <col min="6" max="6" width="24.140625" style="0" customWidth="1"/>
    <col min="7" max="7" width="20.421875" style="0" customWidth="1"/>
    <col min="8" max="8" width="16.421875" style="0" customWidth="1"/>
  </cols>
  <sheetData>
    <row r="1" spans="1:8" ht="72.75" customHeight="1">
      <c r="A1" s="100" t="s">
        <v>467</v>
      </c>
      <c r="B1" s="101"/>
      <c r="C1" s="101"/>
      <c r="D1" s="101"/>
      <c r="E1" s="101"/>
      <c r="F1" s="101"/>
      <c r="G1" s="101"/>
      <c r="H1" s="101"/>
    </row>
    <row r="2" spans="1:9" ht="12.75">
      <c r="A2" s="102" t="s">
        <v>1</v>
      </c>
      <c r="B2" s="103"/>
      <c r="C2" s="104" t="str">
        <f>'Stavební rozpočet'!C2</f>
        <v>VÝMĚNA OKEN A VCHODOVÝCH DVEŘÍ,</v>
      </c>
      <c r="D2" s="74"/>
      <c r="E2" s="107" t="s">
        <v>390</v>
      </c>
      <c r="F2" s="107" t="str">
        <f>'Stavební rozpočet'!I2</f>
        <v>MĚSTO DOLNÍ POUSTEVNA</v>
      </c>
      <c r="G2" s="103"/>
      <c r="H2" s="108"/>
      <c r="I2" s="33"/>
    </row>
    <row r="3" spans="1:9" ht="12.75">
      <c r="A3" s="99"/>
      <c r="B3" s="66"/>
      <c r="C3" s="105"/>
      <c r="D3" s="105"/>
      <c r="E3" s="66"/>
      <c r="F3" s="66"/>
      <c r="G3" s="66"/>
      <c r="H3" s="97"/>
      <c r="I3" s="33"/>
    </row>
    <row r="4" spans="1:9" ht="12.75">
      <c r="A4" s="92" t="s">
        <v>2</v>
      </c>
      <c r="B4" s="66"/>
      <c r="C4" s="65" t="str">
        <f>'Stavební rozpočet'!C4</f>
        <v>ÚPRAVA VESTIBULU A VNITŘNÍ MALBY</v>
      </c>
      <c r="D4" s="66"/>
      <c r="E4" s="65" t="s">
        <v>391</v>
      </c>
      <c r="F4" s="65" t="str">
        <f>'Stavební rozpočet'!I4</f>
        <v>PK HOŠEK</v>
      </c>
      <c r="G4" s="66"/>
      <c r="H4" s="97"/>
      <c r="I4" s="33"/>
    </row>
    <row r="5" spans="1:9" ht="12.75">
      <c r="A5" s="99"/>
      <c r="B5" s="66"/>
      <c r="C5" s="66"/>
      <c r="D5" s="66"/>
      <c r="E5" s="66"/>
      <c r="F5" s="66"/>
      <c r="G5" s="66"/>
      <c r="H5" s="97"/>
      <c r="I5" s="33"/>
    </row>
    <row r="6" spans="1:9" ht="12.75">
      <c r="A6" s="92" t="s">
        <v>3</v>
      </c>
      <c r="B6" s="66"/>
      <c r="C6" s="65" t="str">
        <f>'Stavební rozpočet'!C6</f>
        <v>ZŠ DOLNÍ POUSTEVNA Č.P.142</v>
      </c>
      <c r="D6" s="66"/>
      <c r="E6" s="65" t="s">
        <v>392</v>
      </c>
      <c r="F6" s="65" t="str">
        <f>'Stavební rozpočet'!I6</f>
        <v>BUDE VYBRÁN</v>
      </c>
      <c r="G6" s="66"/>
      <c r="H6" s="97"/>
      <c r="I6" s="33"/>
    </row>
    <row r="7" spans="1:9" ht="12.75">
      <c r="A7" s="99"/>
      <c r="B7" s="66"/>
      <c r="C7" s="66"/>
      <c r="D7" s="66"/>
      <c r="E7" s="66"/>
      <c r="F7" s="66"/>
      <c r="G7" s="66"/>
      <c r="H7" s="97"/>
      <c r="I7" s="33"/>
    </row>
    <row r="8" spans="1:9" ht="12.75">
      <c r="A8" s="92" t="s">
        <v>393</v>
      </c>
      <c r="B8" s="66"/>
      <c r="C8" s="65" t="str">
        <f>'Stavební rozpočet'!I8</f>
        <v>IIČVDF</v>
      </c>
      <c r="D8" s="66"/>
      <c r="E8" s="65" t="s">
        <v>378</v>
      </c>
      <c r="F8" s="65" t="str">
        <f>'Stavební rozpočet'!F8</f>
        <v>05.03.2018</v>
      </c>
      <c r="G8" s="66"/>
      <c r="H8" s="97"/>
      <c r="I8" s="33"/>
    </row>
    <row r="9" spans="1:9" ht="12.75">
      <c r="A9" s="93"/>
      <c r="B9" s="94"/>
      <c r="C9" s="94"/>
      <c r="D9" s="94"/>
      <c r="E9" s="94"/>
      <c r="F9" s="94"/>
      <c r="G9" s="94"/>
      <c r="H9" s="98"/>
      <c r="I9" s="33"/>
    </row>
    <row r="10" spans="1:9" ht="12.75">
      <c r="A10" s="41" t="s">
        <v>5</v>
      </c>
      <c r="B10" s="43" t="s">
        <v>468</v>
      </c>
      <c r="C10" s="43" t="s">
        <v>71</v>
      </c>
      <c r="D10" s="43" t="s">
        <v>145</v>
      </c>
      <c r="E10" s="43" t="s">
        <v>381</v>
      </c>
      <c r="F10" s="43" t="s">
        <v>146</v>
      </c>
      <c r="G10" s="44" t="s">
        <v>389</v>
      </c>
      <c r="H10" s="46" t="s">
        <v>469</v>
      </c>
      <c r="I10" s="34"/>
    </row>
    <row r="11" spans="1:8" ht="12.75">
      <c r="A11" s="42" t="s">
        <v>7</v>
      </c>
      <c r="B11" s="42" t="s">
        <v>417</v>
      </c>
      <c r="C11" s="42" t="s">
        <v>73</v>
      </c>
      <c r="D11" s="42" t="s">
        <v>149</v>
      </c>
      <c r="E11" s="42" t="s">
        <v>382</v>
      </c>
      <c r="F11" s="42" t="s">
        <v>150</v>
      </c>
      <c r="G11" s="45">
        <v>1</v>
      </c>
      <c r="H11" s="47" t="s">
        <v>407</v>
      </c>
    </row>
    <row r="12" spans="1:8" ht="12.75">
      <c r="A12" s="5" t="s">
        <v>8</v>
      </c>
      <c r="B12" s="5" t="s">
        <v>417</v>
      </c>
      <c r="C12" s="5" t="s">
        <v>75</v>
      </c>
      <c r="D12" s="5" t="s">
        <v>152</v>
      </c>
      <c r="E12" s="5" t="s">
        <v>382</v>
      </c>
      <c r="F12" s="5" t="s">
        <v>153</v>
      </c>
      <c r="G12" s="17">
        <v>1</v>
      </c>
      <c r="H12" s="30" t="s">
        <v>407</v>
      </c>
    </row>
    <row r="13" spans="1:8" ht="12.75">
      <c r="A13" s="6" t="s">
        <v>9</v>
      </c>
      <c r="B13" s="6" t="s">
        <v>417</v>
      </c>
      <c r="C13" s="6" t="s">
        <v>76</v>
      </c>
      <c r="D13" s="6" t="s">
        <v>154</v>
      </c>
      <c r="E13" s="6" t="s">
        <v>382</v>
      </c>
      <c r="F13" s="6" t="s">
        <v>155</v>
      </c>
      <c r="G13" s="19">
        <v>1</v>
      </c>
      <c r="H13" s="31" t="s">
        <v>407</v>
      </c>
    </row>
    <row r="14" spans="1:8" ht="12.75">
      <c r="A14" s="5" t="s">
        <v>10</v>
      </c>
      <c r="B14" s="5" t="s">
        <v>417</v>
      </c>
      <c r="C14" s="5" t="s">
        <v>77</v>
      </c>
      <c r="D14" s="5" t="s">
        <v>156</v>
      </c>
      <c r="E14" s="5" t="s">
        <v>382</v>
      </c>
      <c r="F14" s="5" t="s">
        <v>157</v>
      </c>
      <c r="G14" s="17">
        <v>1</v>
      </c>
      <c r="H14" s="30" t="s">
        <v>407</v>
      </c>
    </row>
    <row r="15" spans="1:8" ht="12.75">
      <c r="A15" s="6" t="s">
        <v>11</v>
      </c>
      <c r="B15" s="6" t="s">
        <v>417</v>
      </c>
      <c r="C15" s="6" t="s">
        <v>78</v>
      </c>
      <c r="D15" s="6" t="s">
        <v>158</v>
      </c>
      <c r="E15" s="6" t="s">
        <v>382</v>
      </c>
      <c r="F15" s="6" t="s">
        <v>157</v>
      </c>
      <c r="G15" s="19">
        <v>1</v>
      </c>
      <c r="H15" s="31" t="s">
        <v>407</v>
      </c>
    </row>
    <row r="16" spans="1:8" ht="12.75">
      <c r="A16" s="5" t="s">
        <v>12</v>
      </c>
      <c r="B16" s="5" t="s">
        <v>417</v>
      </c>
      <c r="C16" s="5" t="s">
        <v>79</v>
      </c>
      <c r="D16" s="5" t="s">
        <v>159</v>
      </c>
      <c r="E16" s="5" t="s">
        <v>383</v>
      </c>
      <c r="F16" s="5" t="s">
        <v>160</v>
      </c>
      <c r="G16" s="17">
        <v>0.094</v>
      </c>
      <c r="H16" s="30" t="s">
        <v>407</v>
      </c>
    </row>
    <row r="17" spans="1:8" ht="12.75">
      <c r="A17" s="5" t="s">
        <v>13</v>
      </c>
      <c r="B17" s="5" t="s">
        <v>417</v>
      </c>
      <c r="C17" s="5" t="s">
        <v>81</v>
      </c>
      <c r="D17" s="5" t="s">
        <v>162</v>
      </c>
      <c r="E17" s="5" t="s">
        <v>384</v>
      </c>
      <c r="G17" s="17">
        <v>1.731</v>
      </c>
      <c r="H17" s="30" t="s">
        <v>407</v>
      </c>
    </row>
    <row r="18" spans="6:7" ht="12.75">
      <c r="F18" s="5" t="s">
        <v>163</v>
      </c>
      <c r="G18" s="17">
        <v>0.506</v>
      </c>
    </row>
    <row r="19" spans="1:7" ht="12.75">
      <c r="A19" s="5"/>
      <c r="B19" s="5"/>
      <c r="C19" s="5"/>
      <c r="D19" s="5"/>
      <c r="E19" s="5"/>
      <c r="F19" s="5" t="s">
        <v>164</v>
      </c>
      <c r="G19" s="17">
        <v>1.225</v>
      </c>
    </row>
    <row r="20" spans="1:8" ht="12.75">
      <c r="A20" s="5" t="s">
        <v>14</v>
      </c>
      <c r="B20" s="5" t="s">
        <v>417</v>
      </c>
      <c r="C20" s="5" t="s">
        <v>82</v>
      </c>
      <c r="D20" s="5" t="s">
        <v>165</v>
      </c>
      <c r="E20" s="5" t="s">
        <v>384</v>
      </c>
      <c r="F20" s="5" t="s">
        <v>166</v>
      </c>
      <c r="G20" s="17">
        <v>1.731</v>
      </c>
      <c r="H20" s="30" t="s">
        <v>407</v>
      </c>
    </row>
    <row r="21" spans="1:8" ht="12.75">
      <c r="A21" s="5" t="s">
        <v>15</v>
      </c>
      <c r="B21" s="5" t="s">
        <v>417</v>
      </c>
      <c r="C21" s="5" t="s">
        <v>83</v>
      </c>
      <c r="D21" s="5" t="s">
        <v>167</v>
      </c>
      <c r="E21" s="5" t="s">
        <v>384</v>
      </c>
      <c r="F21" s="5" t="s">
        <v>166</v>
      </c>
      <c r="G21" s="17">
        <v>1.731</v>
      </c>
      <c r="H21" s="30" t="s">
        <v>407</v>
      </c>
    </row>
    <row r="22" spans="1:8" ht="12.75">
      <c r="A22" s="5" t="s">
        <v>16</v>
      </c>
      <c r="B22" s="5" t="s">
        <v>417</v>
      </c>
      <c r="C22" s="5" t="s">
        <v>84</v>
      </c>
      <c r="D22" s="5" t="s">
        <v>168</v>
      </c>
      <c r="E22" s="5" t="s">
        <v>384</v>
      </c>
      <c r="F22" s="5" t="s">
        <v>166</v>
      </c>
      <c r="G22" s="17">
        <v>1.731</v>
      </c>
      <c r="H22" s="30" t="s">
        <v>407</v>
      </c>
    </row>
    <row r="23" spans="1:8" ht="12.75">
      <c r="A23" s="6" t="s">
        <v>17</v>
      </c>
      <c r="B23" s="6" t="s">
        <v>417</v>
      </c>
      <c r="C23" s="6" t="s">
        <v>85</v>
      </c>
      <c r="D23" s="6" t="s">
        <v>169</v>
      </c>
      <c r="E23" s="6" t="s">
        <v>384</v>
      </c>
      <c r="G23" s="19">
        <v>2.5965</v>
      </c>
      <c r="H23" s="31" t="s">
        <v>407</v>
      </c>
    </row>
    <row r="24" spans="6:7" ht="12.75">
      <c r="F24" s="6" t="s">
        <v>166</v>
      </c>
      <c r="G24" s="19">
        <v>1.731</v>
      </c>
    </row>
    <row r="25" spans="1:7" ht="12.75">
      <c r="A25" s="6"/>
      <c r="B25" s="6"/>
      <c r="C25" s="6"/>
      <c r="D25" s="6"/>
      <c r="E25" s="6"/>
      <c r="F25" s="6" t="s">
        <v>170</v>
      </c>
      <c r="G25" s="19">
        <v>0.8655</v>
      </c>
    </row>
    <row r="26" spans="1:8" ht="12.75">
      <c r="A26" s="5" t="s">
        <v>18</v>
      </c>
      <c r="B26" s="5" t="s">
        <v>417</v>
      </c>
      <c r="C26" s="5" t="s">
        <v>86</v>
      </c>
      <c r="D26" s="5" t="s">
        <v>171</v>
      </c>
      <c r="E26" s="5" t="s">
        <v>383</v>
      </c>
      <c r="F26" s="5" t="s">
        <v>172</v>
      </c>
      <c r="G26" s="17">
        <v>0.05</v>
      </c>
      <c r="H26" s="30" t="s">
        <v>407</v>
      </c>
    </row>
    <row r="27" spans="1:8" ht="12.75">
      <c r="A27" s="5" t="s">
        <v>19</v>
      </c>
      <c r="B27" s="5" t="s">
        <v>417</v>
      </c>
      <c r="C27" s="5" t="s">
        <v>88</v>
      </c>
      <c r="D27" s="5" t="s">
        <v>174</v>
      </c>
      <c r="E27" s="5" t="s">
        <v>384</v>
      </c>
      <c r="G27" s="17">
        <v>73.7317</v>
      </c>
      <c r="H27" s="30" t="s">
        <v>407</v>
      </c>
    </row>
    <row r="28" spans="6:7" ht="12.75">
      <c r="F28" s="5" t="s">
        <v>175</v>
      </c>
      <c r="G28" s="17">
        <v>18.7222</v>
      </c>
    </row>
    <row r="29" spans="1:7" ht="12.75">
      <c r="A29" s="5"/>
      <c r="B29" s="5"/>
      <c r="C29" s="5"/>
      <c r="D29" s="5"/>
      <c r="E29" s="5"/>
      <c r="F29" s="5" t="s">
        <v>176</v>
      </c>
      <c r="G29" s="17">
        <v>66.456</v>
      </c>
    </row>
    <row r="30" spans="1:7" ht="12.75">
      <c r="A30" s="5"/>
      <c r="B30" s="5"/>
      <c r="C30" s="5"/>
      <c r="D30" s="5"/>
      <c r="E30" s="5"/>
      <c r="F30" s="5" t="s">
        <v>177</v>
      </c>
      <c r="G30" s="17">
        <v>-11.4465</v>
      </c>
    </row>
    <row r="31" spans="1:8" ht="12.75">
      <c r="A31" s="5" t="s">
        <v>20</v>
      </c>
      <c r="B31" s="5" t="s">
        <v>417</v>
      </c>
      <c r="C31" s="5" t="s">
        <v>89</v>
      </c>
      <c r="D31" s="5" t="s">
        <v>178</v>
      </c>
      <c r="E31" s="5" t="s">
        <v>384</v>
      </c>
      <c r="F31" s="5" t="s">
        <v>179</v>
      </c>
      <c r="G31" s="17">
        <v>73.731</v>
      </c>
      <c r="H31" s="30" t="s">
        <v>407</v>
      </c>
    </row>
    <row r="32" spans="1:8" ht="12.75">
      <c r="A32" s="5" t="s">
        <v>21</v>
      </c>
      <c r="B32" s="5" t="s">
        <v>417</v>
      </c>
      <c r="C32" s="5" t="s">
        <v>90</v>
      </c>
      <c r="D32" s="5" t="s">
        <v>180</v>
      </c>
      <c r="E32" s="5" t="s">
        <v>384</v>
      </c>
      <c r="F32" s="5" t="s">
        <v>179</v>
      </c>
      <c r="G32" s="17">
        <v>73.731</v>
      </c>
      <c r="H32" s="30" t="s">
        <v>407</v>
      </c>
    </row>
    <row r="33" spans="1:8" ht="12.75">
      <c r="A33" s="5" t="s">
        <v>22</v>
      </c>
      <c r="B33" s="5" t="s">
        <v>417</v>
      </c>
      <c r="C33" s="5" t="s">
        <v>92</v>
      </c>
      <c r="D33" s="5" t="s">
        <v>182</v>
      </c>
      <c r="E33" s="5" t="s">
        <v>384</v>
      </c>
      <c r="F33" s="5" t="s">
        <v>183</v>
      </c>
      <c r="G33" s="17">
        <v>14</v>
      </c>
      <c r="H33" s="30" t="s">
        <v>407</v>
      </c>
    </row>
    <row r="34" spans="1:8" ht="12.75">
      <c r="A34" s="5" t="s">
        <v>23</v>
      </c>
      <c r="B34" s="5" t="s">
        <v>417</v>
      </c>
      <c r="C34" s="5" t="s">
        <v>94</v>
      </c>
      <c r="D34" s="5" t="s">
        <v>185</v>
      </c>
      <c r="E34" s="5" t="s">
        <v>384</v>
      </c>
      <c r="F34" s="5" t="s">
        <v>186</v>
      </c>
      <c r="G34" s="17">
        <v>19.02</v>
      </c>
      <c r="H34" s="30" t="s">
        <v>407</v>
      </c>
    </row>
    <row r="35" spans="1:8" ht="12.75">
      <c r="A35" s="5" t="s">
        <v>24</v>
      </c>
      <c r="B35" s="5" t="s">
        <v>417</v>
      </c>
      <c r="C35" s="5" t="s">
        <v>96</v>
      </c>
      <c r="D35" s="5" t="s">
        <v>188</v>
      </c>
      <c r="E35" s="5" t="s">
        <v>384</v>
      </c>
      <c r="F35" s="5" t="s">
        <v>189</v>
      </c>
      <c r="G35" s="17">
        <v>6.4945</v>
      </c>
      <c r="H35" s="30" t="s">
        <v>407</v>
      </c>
    </row>
    <row r="36" spans="1:8" ht="12.75">
      <c r="A36" s="5" t="s">
        <v>25</v>
      </c>
      <c r="B36" s="5" t="s">
        <v>417</v>
      </c>
      <c r="C36" s="5" t="s">
        <v>97</v>
      </c>
      <c r="D36" s="5" t="s">
        <v>190</v>
      </c>
      <c r="E36" s="5" t="s">
        <v>385</v>
      </c>
      <c r="F36" s="5" t="s">
        <v>191</v>
      </c>
      <c r="G36" s="17">
        <v>0.99</v>
      </c>
      <c r="H36" s="30" t="s">
        <v>407</v>
      </c>
    </row>
    <row r="37" spans="1:8" ht="12.75">
      <c r="A37" s="5" t="s">
        <v>26</v>
      </c>
      <c r="B37" s="5" t="s">
        <v>417</v>
      </c>
      <c r="C37" s="5" t="s">
        <v>98</v>
      </c>
      <c r="D37" s="5" t="s">
        <v>192</v>
      </c>
      <c r="E37" s="5" t="s">
        <v>384</v>
      </c>
      <c r="F37" s="5" t="s">
        <v>193</v>
      </c>
      <c r="G37" s="17">
        <v>3.8</v>
      </c>
      <c r="H37" s="30" t="s">
        <v>407</v>
      </c>
    </row>
    <row r="38" spans="1:8" ht="12.75">
      <c r="A38" s="5" t="s">
        <v>27</v>
      </c>
      <c r="B38" s="5" t="s">
        <v>417</v>
      </c>
      <c r="C38" s="5" t="s">
        <v>99</v>
      </c>
      <c r="D38" s="5" t="s">
        <v>194</v>
      </c>
      <c r="E38" s="5" t="s">
        <v>384</v>
      </c>
      <c r="F38" s="5" t="s">
        <v>195</v>
      </c>
      <c r="G38" s="17">
        <v>2.1</v>
      </c>
      <c r="H38" s="30" t="s">
        <v>407</v>
      </c>
    </row>
    <row r="39" spans="1:8" ht="12.75">
      <c r="A39" s="5" t="s">
        <v>28</v>
      </c>
      <c r="B39" s="5" t="s">
        <v>417</v>
      </c>
      <c r="C39" s="5" t="s">
        <v>101</v>
      </c>
      <c r="D39" s="5" t="s">
        <v>197</v>
      </c>
      <c r="E39" s="5" t="s">
        <v>386</v>
      </c>
      <c r="F39" s="5" t="s">
        <v>198</v>
      </c>
      <c r="G39" s="17">
        <v>15.8</v>
      </c>
      <c r="H39" s="30" t="s">
        <v>407</v>
      </c>
    </row>
    <row r="40" spans="1:8" ht="12.75">
      <c r="A40" s="5" t="s">
        <v>29</v>
      </c>
      <c r="B40" s="5" t="s">
        <v>417</v>
      </c>
      <c r="C40" s="5" t="s">
        <v>102</v>
      </c>
      <c r="D40" s="5" t="s">
        <v>199</v>
      </c>
      <c r="E40" s="5" t="s">
        <v>386</v>
      </c>
      <c r="F40" s="5" t="s">
        <v>200</v>
      </c>
      <c r="G40" s="17">
        <v>200</v>
      </c>
      <c r="H40" s="30" t="s">
        <v>407</v>
      </c>
    </row>
    <row r="41" spans="1:8" ht="12.75">
      <c r="A41" s="5" t="s">
        <v>30</v>
      </c>
      <c r="B41" s="5" t="s">
        <v>417</v>
      </c>
      <c r="C41" s="5" t="s">
        <v>104</v>
      </c>
      <c r="D41" s="5" t="s">
        <v>202</v>
      </c>
      <c r="E41" s="5" t="s">
        <v>383</v>
      </c>
      <c r="F41" s="5" t="s">
        <v>203</v>
      </c>
      <c r="G41" s="17">
        <v>0.154</v>
      </c>
      <c r="H41" s="30" t="s">
        <v>407</v>
      </c>
    </row>
    <row r="42" spans="1:8" ht="12.75">
      <c r="A42" s="5" t="s">
        <v>31</v>
      </c>
      <c r="B42" s="5" t="s">
        <v>417</v>
      </c>
      <c r="C42" s="5" t="s">
        <v>106</v>
      </c>
      <c r="D42" s="5" t="s">
        <v>205</v>
      </c>
      <c r="E42" s="5" t="s">
        <v>383</v>
      </c>
      <c r="F42" s="5" t="s">
        <v>206</v>
      </c>
      <c r="G42" s="17">
        <v>4.677</v>
      </c>
      <c r="H42" s="30" t="s">
        <v>407</v>
      </c>
    </row>
    <row r="43" spans="1:8" ht="12.75">
      <c r="A43" s="5" t="s">
        <v>32</v>
      </c>
      <c r="B43" s="5" t="s">
        <v>417</v>
      </c>
      <c r="C43" s="5" t="s">
        <v>107</v>
      </c>
      <c r="D43" s="5" t="s">
        <v>207</v>
      </c>
      <c r="E43" s="5" t="s">
        <v>383</v>
      </c>
      <c r="F43" s="5" t="s">
        <v>208</v>
      </c>
      <c r="G43" s="17">
        <v>4.677</v>
      </c>
      <c r="H43" s="30" t="s">
        <v>407</v>
      </c>
    </row>
    <row r="44" spans="1:8" ht="12.75">
      <c r="A44" s="5" t="s">
        <v>33</v>
      </c>
      <c r="B44" s="5" t="s">
        <v>417</v>
      </c>
      <c r="C44" s="5" t="s">
        <v>108</v>
      </c>
      <c r="D44" s="5" t="s">
        <v>209</v>
      </c>
      <c r="E44" s="5" t="s">
        <v>383</v>
      </c>
      <c r="F44" s="5" t="s">
        <v>208</v>
      </c>
      <c r="G44" s="17">
        <v>4.677</v>
      </c>
      <c r="H44" s="30" t="s">
        <v>407</v>
      </c>
    </row>
    <row r="45" spans="1:8" ht="12.75">
      <c r="A45" s="5" t="s">
        <v>34</v>
      </c>
      <c r="B45" s="5" t="s">
        <v>417</v>
      </c>
      <c r="C45" s="5" t="s">
        <v>109</v>
      </c>
      <c r="D45" s="5" t="s">
        <v>210</v>
      </c>
      <c r="E45" s="5" t="s">
        <v>383</v>
      </c>
      <c r="F45" s="5" t="s">
        <v>208</v>
      </c>
      <c r="G45" s="17">
        <v>4.677</v>
      </c>
      <c r="H45" s="30" t="s">
        <v>407</v>
      </c>
    </row>
    <row r="46" spans="1:8" ht="12.75">
      <c r="A46" s="5" t="s">
        <v>35</v>
      </c>
      <c r="B46" s="5" t="s">
        <v>418</v>
      </c>
      <c r="C46" s="5" t="s">
        <v>110</v>
      </c>
      <c r="D46" s="5" t="s">
        <v>213</v>
      </c>
      <c r="E46" s="5" t="s">
        <v>384</v>
      </c>
      <c r="F46" s="5" t="s">
        <v>214</v>
      </c>
      <c r="G46" s="17">
        <v>3.19072</v>
      </c>
      <c r="H46" s="30" t="s">
        <v>407</v>
      </c>
    </row>
    <row r="47" spans="1:8" ht="12.75">
      <c r="A47" s="5" t="s">
        <v>36</v>
      </c>
      <c r="B47" s="5" t="s">
        <v>418</v>
      </c>
      <c r="C47" s="5" t="s">
        <v>111</v>
      </c>
      <c r="D47" s="5" t="s">
        <v>215</v>
      </c>
      <c r="E47" s="5" t="s">
        <v>384</v>
      </c>
      <c r="F47" s="5" t="s">
        <v>216</v>
      </c>
      <c r="G47" s="17">
        <v>0.264</v>
      </c>
      <c r="H47" s="30" t="s">
        <v>407</v>
      </c>
    </row>
    <row r="48" spans="1:8" ht="12.75">
      <c r="A48" s="5" t="s">
        <v>37</v>
      </c>
      <c r="B48" s="5" t="s">
        <v>418</v>
      </c>
      <c r="C48" s="5" t="s">
        <v>112</v>
      </c>
      <c r="D48" s="5" t="s">
        <v>217</v>
      </c>
      <c r="E48" s="5" t="s">
        <v>387</v>
      </c>
      <c r="F48" s="5" t="s">
        <v>218</v>
      </c>
      <c r="G48" s="17">
        <v>1</v>
      </c>
      <c r="H48" s="30" t="s">
        <v>407</v>
      </c>
    </row>
    <row r="49" spans="1:8" ht="12.75">
      <c r="A49" s="5" t="s">
        <v>38</v>
      </c>
      <c r="B49" s="5" t="s">
        <v>418</v>
      </c>
      <c r="C49" s="5" t="s">
        <v>113</v>
      </c>
      <c r="D49" s="5" t="s">
        <v>219</v>
      </c>
      <c r="E49" s="5" t="s">
        <v>387</v>
      </c>
      <c r="F49" s="5" t="s">
        <v>220</v>
      </c>
      <c r="G49" s="17">
        <v>1</v>
      </c>
      <c r="H49" s="30" t="s">
        <v>407</v>
      </c>
    </row>
    <row r="50" spans="1:8" ht="12.75">
      <c r="A50" s="5" t="s">
        <v>39</v>
      </c>
      <c r="B50" s="5" t="s">
        <v>418</v>
      </c>
      <c r="C50" s="5" t="s">
        <v>114</v>
      </c>
      <c r="D50" s="5" t="s">
        <v>221</v>
      </c>
      <c r="E50" s="5" t="s">
        <v>387</v>
      </c>
      <c r="F50" s="5" t="s">
        <v>7</v>
      </c>
      <c r="G50" s="17">
        <v>1</v>
      </c>
      <c r="H50" s="30" t="s">
        <v>407</v>
      </c>
    </row>
    <row r="51" spans="1:8" ht="12.75">
      <c r="A51" s="5" t="s">
        <v>40</v>
      </c>
      <c r="B51" s="5" t="s">
        <v>418</v>
      </c>
      <c r="C51" s="5" t="s">
        <v>115</v>
      </c>
      <c r="D51" s="5" t="s">
        <v>222</v>
      </c>
      <c r="E51" s="5" t="s">
        <v>387</v>
      </c>
      <c r="F51" s="5" t="s">
        <v>7</v>
      </c>
      <c r="G51" s="17">
        <v>1</v>
      </c>
      <c r="H51" s="30" t="s">
        <v>407</v>
      </c>
    </row>
    <row r="52" spans="1:8" ht="12.75">
      <c r="A52" s="5" t="s">
        <v>41</v>
      </c>
      <c r="B52" s="5" t="s">
        <v>418</v>
      </c>
      <c r="C52" s="5" t="s">
        <v>116</v>
      </c>
      <c r="D52" s="5" t="s">
        <v>223</v>
      </c>
      <c r="E52" s="5" t="s">
        <v>387</v>
      </c>
      <c r="F52" s="5" t="s">
        <v>7</v>
      </c>
      <c r="G52" s="17">
        <v>1</v>
      </c>
      <c r="H52" s="30" t="s">
        <v>407</v>
      </c>
    </row>
    <row r="53" spans="1:8" ht="12.75">
      <c r="A53" s="5" t="s">
        <v>42</v>
      </c>
      <c r="B53" s="5" t="s">
        <v>418</v>
      </c>
      <c r="C53" s="5" t="s">
        <v>117</v>
      </c>
      <c r="D53" s="5" t="s">
        <v>224</v>
      </c>
      <c r="E53" s="5" t="s">
        <v>387</v>
      </c>
      <c r="F53" s="5" t="s">
        <v>7</v>
      </c>
      <c r="G53" s="17">
        <v>1</v>
      </c>
      <c r="H53" s="30" t="s">
        <v>407</v>
      </c>
    </row>
    <row r="54" spans="1:8" ht="12.75">
      <c r="A54" s="5" t="s">
        <v>43</v>
      </c>
      <c r="B54" s="5" t="s">
        <v>418</v>
      </c>
      <c r="C54" s="5" t="s">
        <v>118</v>
      </c>
      <c r="D54" s="5" t="s">
        <v>225</v>
      </c>
      <c r="E54" s="5" t="s">
        <v>387</v>
      </c>
      <c r="F54" s="5" t="s">
        <v>7</v>
      </c>
      <c r="G54" s="17">
        <v>1</v>
      </c>
      <c r="H54" s="30" t="s">
        <v>407</v>
      </c>
    </row>
    <row r="55" spans="1:8" ht="12.75">
      <c r="A55" s="5" t="s">
        <v>44</v>
      </c>
      <c r="B55" s="5" t="s">
        <v>418</v>
      </c>
      <c r="C55" s="5" t="s">
        <v>119</v>
      </c>
      <c r="D55" s="5" t="s">
        <v>226</v>
      </c>
      <c r="E55" s="5" t="s">
        <v>387</v>
      </c>
      <c r="F55" s="5" t="s">
        <v>7</v>
      </c>
      <c r="G55" s="17">
        <v>1</v>
      </c>
      <c r="H55" s="30" t="s">
        <v>407</v>
      </c>
    </row>
    <row r="56" spans="1:8" ht="12.75">
      <c r="A56" s="5" t="s">
        <v>45</v>
      </c>
      <c r="B56" s="5" t="s">
        <v>418</v>
      </c>
      <c r="C56" s="5" t="s">
        <v>120</v>
      </c>
      <c r="D56" s="5" t="s">
        <v>227</v>
      </c>
      <c r="E56" s="5" t="s">
        <v>387</v>
      </c>
      <c r="F56" s="5" t="s">
        <v>7</v>
      </c>
      <c r="G56" s="17">
        <v>1</v>
      </c>
      <c r="H56" s="30" t="s">
        <v>407</v>
      </c>
    </row>
    <row r="57" spans="1:8" ht="12.75">
      <c r="A57" s="5" t="s">
        <v>46</v>
      </c>
      <c r="B57" s="5" t="s">
        <v>418</v>
      </c>
      <c r="C57" s="5" t="s">
        <v>121</v>
      </c>
      <c r="D57" s="5" t="s">
        <v>228</v>
      </c>
      <c r="E57" s="5" t="s">
        <v>387</v>
      </c>
      <c r="F57" s="5" t="s">
        <v>7</v>
      </c>
      <c r="G57" s="17">
        <v>1</v>
      </c>
      <c r="H57" s="30" t="s">
        <v>407</v>
      </c>
    </row>
    <row r="58" spans="1:8" ht="12.75">
      <c r="A58" s="5" t="s">
        <v>47</v>
      </c>
      <c r="B58" s="5" t="s">
        <v>418</v>
      </c>
      <c r="C58" s="5" t="s">
        <v>122</v>
      </c>
      <c r="D58" s="5" t="s">
        <v>229</v>
      </c>
      <c r="E58" s="5" t="s">
        <v>387</v>
      </c>
      <c r="F58" s="5" t="s">
        <v>7</v>
      </c>
      <c r="G58" s="17">
        <v>1</v>
      </c>
      <c r="H58" s="30" t="s">
        <v>407</v>
      </c>
    </row>
    <row r="59" spans="1:8" ht="12.75">
      <c r="A59" s="5" t="s">
        <v>48</v>
      </c>
      <c r="B59" s="5" t="s">
        <v>418</v>
      </c>
      <c r="C59" s="5" t="s">
        <v>123</v>
      </c>
      <c r="D59" s="5" t="s">
        <v>230</v>
      </c>
      <c r="E59" s="5" t="s">
        <v>388</v>
      </c>
      <c r="F59" s="5" t="s">
        <v>7</v>
      </c>
      <c r="G59" s="17">
        <v>1</v>
      </c>
      <c r="H59" s="30" t="s">
        <v>407</v>
      </c>
    </row>
    <row r="60" spans="1:8" ht="12.75">
      <c r="A60" s="5" t="s">
        <v>49</v>
      </c>
      <c r="B60" s="5" t="s">
        <v>418</v>
      </c>
      <c r="C60" s="5" t="s">
        <v>125</v>
      </c>
      <c r="D60" s="5" t="s">
        <v>232</v>
      </c>
      <c r="E60" s="5" t="s">
        <v>388</v>
      </c>
      <c r="F60" s="5" t="s">
        <v>7</v>
      </c>
      <c r="G60" s="17">
        <v>1</v>
      </c>
      <c r="H60" s="30" t="s">
        <v>407</v>
      </c>
    </row>
    <row r="61" spans="1:8" ht="12.75">
      <c r="A61" s="5" t="s">
        <v>50</v>
      </c>
      <c r="B61" s="5" t="s">
        <v>418</v>
      </c>
      <c r="C61" s="5" t="s">
        <v>127</v>
      </c>
      <c r="D61" s="5" t="s">
        <v>234</v>
      </c>
      <c r="E61" s="5" t="s">
        <v>386</v>
      </c>
      <c r="F61" s="5" t="s">
        <v>235</v>
      </c>
      <c r="G61" s="17">
        <v>150</v>
      </c>
      <c r="H61" s="30" t="s">
        <v>407</v>
      </c>
    </row>
    <row r="62" spans="1:8" ht="12.75">
      <c r="A62" s="5" t="s">
        <v>51</v>
      </c>
      <c r="B62" s="5" t="s">
        <v>418</v>
      </c>
      <c r="C62" s="5" t="s">
        <v>128</v>
      </c>
      <c r="D62" s="5" t="s">
        <v>236</v>
      </c>
      <c r="E62" s="5" t="s">
        <v>387</v>
      </c>
      <c r="F62" s="5" t="s">
        <v>237</v>
      </c>
      <c r="G62" s="17">
        <v>1</v>
      </c>
      <c r="H62" s="30" t="s">
        <v>407</v>
      </c>
    </row>
    <row r="63" spans="1:8" ht="12.75">
      <c r="A63" s="5" t="s">
        <v>52</v>
      </c>
      <c r="B63" s="5" t="s">
        <v>419</v>
      </c>
      <c r="C63" s="5" t="s">
        <v>129</v>
      </c>
      <c r="D63" s="5" t="s">
        <v>240</v>
      </c>
      <c r="E63" s="5" t="s">
        <v>384</v>
      </c>
      <c r="G63" s="17">
        <v>259.37978</v>
      </c>
      <c r="H63" s="30" t="s">
        <v>407</v>
      </c>
    </row>
    <row r="64" spans="6:7" ht="12.75">
      <c r="F64" s="5" t="s">
        <v>241</v>
      </c>
      <c r="G64" s="17">
        <v>231.84</v>
      </c>
    </row>
    <row r="65" spans="1:7" ht="12.75">
      <c r="A65" s="5"/>
      <c r="B65" s="5"/>
      <c r="C65" s="5"/>
      <c r="D65" s="5"/>
      <c r="E65" s="5"/>
      <c r="F65" s="5" t="s">
        <v>242</v>
      </c>
      <c r="G65" s="17">
        <v>0.468</v>
      </c>
    </row>
    <row r="66" spans="1:7" ht="12.75">
      <c r="A66" s="5"/>
      <c r="B66" s="5"/>
      <c r="C66" s="5"/>
      <c r="D66" s="5"/>
      <c r="E66" s="5"/>
      <c r="F66" s="5" t="s">
        <v>243</v>
      </c>
      <c r="G66" s="17">
        <v>0.726</v>
      </c>
    </row>
    <row r="67" spans="1:7" ht="12.75">
      <c r="A67" s="5"/>
      <c r="B67" s="5"/>
      <c r="C67" s="5"/>
      <c r="D67" s="5"/>
      <c r="E67" s="5"/>
      <c r="F67" s="5" t="s">
        <v>244</v>
      </c>
      <c r="G67" s="17">
        <v>0.3</v>
      </c>
    </row>
    <row r="68" spans="1:7" ht="12.75">
      <c r="A68" s="5"/>
      <c r="B68" s="5"/>
      <c r="C68" s="5"/>
      <c r="D68" s="5"/>
      <c r="E68" s="5"/>
      <c r="F68" s="5" t="s">
        <v>245</v>
      </c>
      <c r="G68" s="17">
        <v>2.525</v>
      </c>
    </row>
    <row r="69" spans="1:7" ht="12.75">
      <c r="A69" s="5"/>
      <c r="B69" s="5"/>
      <c r="C69" s="5"/>
      <c r="D69" s="5"/>
      <c r="E69" s="5"/>
      <c r="F69" s="5" t="s">
        <v>246</v>
      </c>
      <c r="G69" s="17">
        <v>0.7828</v>
      </c>
    </row>
    <row r="70" spans="1:7" ht="12.75">
      <c r="A70" s="5"/>
      <c r="B70" s="5"/>
      <c r="C70" s="5"/>
      <c r="D70" s="5"/>
      <c r="E70" s="5"/>
      <c r="F70" s="5" t="s">
        <v>247</v>
      </c>
      <c r="G70" s="17">
        <v>13.398</v>
      </c>
    </row>
    <row r="71" spans="1:7" ht="12.75">
      <c r="A71" s="5"/>
      <c r="B71" s="5"/>
      <c r="C71" s="5"/>
      <c r="D71" s="5"/>
      <c r="E71" s="5"/>
      <c r="F71" s="5" t="s">
        <v>248</v>
      </c>
      <c r="G71" s="17">
        <v>2.0984</v>
      </c>
    </row>
    <row r="72" spans="1:7" ht="12.75">
      <c r="A72" s="5"/>
      <c r="B72" s="5"/>
      <c r="C72" s="5"/>
      <c r="D72" s="5"/>
      <c r="E72" s="5"/>
      <c r="F72" s="5" t="s">
        <v>249</v>
      </c>
      <c r="G72" s="17">
        <v>3.87618</v>
      </c>
    </row>
    <row r="73" spans="1:7" ht="12.75">
      <c r="A73" s="5"/>
      <c r="B73" s="5"/>
      <c r="C73" s="5"/>
      <c r="D73" s="5"/>
      <c r="E73" s="5"/>
      <c r="F73" s="5" t="s">
        <v>250</v>
      </c>
      <c r="G73" s="17">
        <v>3.3654</v>
      </c>
    </row>
    <row r="74" spans="1:8" ht="12.75">
      <c r="A74" s="5" t="s">
        <v>53</v>
      </c>
      <c r="B74" s="5" t="s">
        <v>419</v>
      </c>
      <c r="C74" s="5" t="s">
        <v>130</v>
      </c>
      <c r="D74" s="5" t="s">
        <v>251</v>
      </c>
      <c r="E74" s="5" t="s">
        <v>384</v>
      </c>
      <c r="G74" s="17">
        <v>3437.0286</v>
      </c>
      <c r="H74" s="30" t="s">
        <v>407</v>
      </c>
    </row>
    <row r="75" spans="6:7" ht="12.75">
      <c r="F75" s="5" t="s">
        <v>252</v>
      </c>
      <c r="G75" s="17">
        <v>42.896</v>
      </c>
    </row>
    <row r="76" spans="1:7" ht="12.75">
      <c r="A76" s="5"/>
      <c r="B76" s="5"/>
      <c r="C76" s="5"/>
      <c r="D76" s="5"/>
      <c r="E76" s="5"/>
      <c r="F76" s="5" t="s">
        <v>253</v>
      </c>
      <c r="G76" s="17">
        <v>47.152</v>
      </c>
    </row>
    <row r="77" spans="1:7" ht="12.75">
      <c r="A77" s="5"/>
      <c r="B77" s="5"/>
      <c r="C77" s="5"/>
      <c r="D77" s="5"/>
      <c r="E77" s="5"/>
      <c r="F77" s="5" t="s">
        <v>254</v>
      </c>
      <c r="G77" s="17">
        <v>37.48</v>
      </c>
    </row>
    <row r="78" spans="1:7" ht="12.75">
      <c r="A78" s="5"/>
      <c r="B78" s="5"/>
      <c r="C78" s="5"/>
      <c r="D78" s="5"/>
      <c r="E78" s="5"/>
      <c r="F78" s="5" t="s">
        <v>255</v>
      </c>
      <c r="G78" s="17">
        <v>27.28</v>
      </c>
    </row>
    <row r="79" spans="1:7" ht="12.75">
      <c r="A79" s="5"/>
      <c r="B79" s="5"/>
      <c r="C79" s="5"/>
      <c r="D79" s="5"/>
      <c r="E79" s="5"/>
      <c r="F79" s="5" t="s">
        <v>256</v>
      </c>
      <c r="G79" s="17">
        <v>33.18</v>
      </c>
    </row>
    <row r="80" spans="1:7" ht="12.75">
      <c r="A80" s="5"/>
      <c r="B80" s="5"/>
      <c r="C80" s="5"/>
      <c r="D80" s="5"/>
      <c r="E80" s="5"/>
      <c r="F80" s="5" t="s">
        <v>257</v>
      </c>
      <c r="G80" s="17">
        <v>-10.2904</v>
      </c>
    </row>
    <row r="81" spans="1:7" ht="12.75">
      <c r="A81" s="5"/>
      <c r="B81" s="5"/>
      <c r="C81" s="5"/>
      <c r="D81" s="5"/>
      <c r="E81" s="5"/>
      <c r="F81" s="5" t="s">
        <v>258</v>
      </c>
      <c r="G81" s="17">
        <v>110.304</v>
      </c>
    </row>
    <row r="82" spans="1:7" ht="12.75">
      <c r="A82" s="5"/>
      <c r="B82" s="5"/>
      <c r="C82" s="5"/>
      <c r="D82" s="5"/>
      <c r="E82" s="5"/>
      <c r="F82" s="5" t="s">
        <v>259</v>
      </c>
      <c r="G82" s="17">
        <v>-12.735</v>
      </c>
    </row>
    <row r="83" spans="1:7" ht="12.75">
      <c r="A83" s="5"/>
      <c r="B83" s="5"/>
      <c r="C83" s="5"/>
      <c r="D83" s="5"/>
      <c r="E83" s="5"/>
      <c r="F83" s="5" t="s">
        <v>260</v>
      </c>
      <c r="G83" s="17">
        <v>91.872</v>
      </c>
    </row>
    <row r="84" spans="1:7" ht="12.75">
      <c r="A84" s="5"/>
      <c r="B84" s="5"/>
      <c r="C84" s="5"/>
      <c r="D84" s="5"/>
      <c r="E84" s="5"/>
      <c r="F84" s="5" t="s">
        <v>261</v>
      </c>
      <c r="G84" s="17">
        <v>0</v>
      </c>
    </row>
    <row r="85" spans="1:7" ht="12.75">
      <c r="A85" s="5"/>
      <c r="B85" s="5"/>
      <c r="C85" s="5"/>
      <c r="D85" s="5"/>
      <c r="E85" s="5"/>
      <c r="F85" s="5" t="s">
        <v>262</v>
      </c>
      <c r="G85" s="17">
        <v>50.904</v>
      </c>
    </row>
    <row r="86" spans="1:7" ht="12.75">
      <c r="A86" s="5"/>
      <c r="B86" s="5"/>
      <c r="C86" s="5"/>
      <c r="D86" s="5"/>
      <c r="E86" s="5"/>
      <c r="F86" s="5" t="s">
        <v>263</v>
      </c>
      <c r="G86" s="17">
        <v>-1.8</v>
      </c>
    </row>
    <row r="87" spans="1:7" ht="12.75">
      <c r="A87" s="5"/>
      <c r="B87" s="5"/>
      <c r="C87" s="5"/>
      <c r="D87" s="5"/>
      <c r="E87" s="5"/>
      <c r="F87" s="5" t="s">
        <v>264</v>
      </c>
      <c r="G87" s="17">
        <v>49.032</v>
      </c>
    </row>
    <row r="88" spans="1:7" ht="12.75">
      <c r="A88" s="5"/>
      <c r="B88" s="5"/>
      <c r="C88" s="5"/>
      <c r="D88" s="5"/>
      <c r="E88" s="5"/>
      <c r="F88" s="5" t="s">
        <v>265</v>
      </c>
      <c r="G88" s="17">
        <v>-1.8</v>
      </c>
    </row>
    <row r="89" spans="1:7" ht="12.75">
      <c r="A89" s="5"/>
      <c r="B89" s="5"/>
      <c r="C89" s="5"/>
      <c r="D89" s="5"/>
      <c r="E89" s="5"/>
      <c r="F89" s="5" t="s">
        <v>266</v>
      </c>
      <c r="G89" s="17">
        <v>41.976</v>
      </c>
    </row>
    <row r="90" spans="1:7" ht="12.75">
      <c r="A90" s="5"/>
      <c r="B90" s="5"/>
      <c r="C90" s="5"/>
      <c r="D90" s="5"/>
      <c r="E90" s="5"/>
      <c r="F90" s="5" t="s">
        <v>265</v>
      </c>
      <c r="G90" s="17">
        <v>-1.8</v>
      </c>
    </row>
    <row r="91" spans="1:7" ht="12.75">
      <c r="A91" s="5"/>
      <c r="B91" s="5"/>
      <c r="C91" s="5"/>
      <c r="D91" s="5"/>
      <c r="E91" s="5"/>
      <c r="F91" s="5" t="s">
        <v>267</v>
      </c>
      <c r="G91" s="17">
        <v>41.544</v>
      </c>
    </row>
    <row r="92" spans="1:7" ht="12.75">
      <c r="A92" s="5"/>
      <c r="B92" s="5"/>
      <c r="C92" s="5"/>
      <c r="D92" s="5"/>
      <c r="E92" s="5"/>
      <c r="F92" s="5" t="s">
        <v>265</v>
      </c>
      <c r="G92" s="17">
        <v>-1.8</v>
      </c>
    </row>
    <row r="93" spans="1:7" ht="12.75">
      <c r="A93" s="5"/>
      <c r="B93" s="5"/>
      <c r="C93" s="5"/>
      <c r="D93" s="5"/>
      <c r="E93" s="5"/>
      <c r="F93" s="5" t="s">
        <v>268</v>
      </c>
      <c r="G93" s="17">
        <v>116.928</v>
      </c>
    </row>
    <row r="94" spans="1:7" ht="12.75">
      <c r="A94" s="5"/>
      <c r="B94" s="5"/>
      <c r="C94" s="5"/>
      <c r="D94" s="5"/>
      <c r="E94" s="5"/>
      <c r="F94" s="5" t="s">
        <v>265</v>
      </c>
      <c r="G94" s="17">
        <v>-1.8</v>
      </c>
    </row>
    <row r="95" spans="1:7" ht="12.75">
      <c r="A95" s="5"/>
      <c r="B95" s="5"/>
      <c r="C95" s="5"/>
      <c r="D95" s="5"/>
      <c r="E95" s="5"/>
      <c r="F95" s="5" t="s">
        <v>269</v>
      </c>
      <c r="G95" s="17">
        <v>50.832</v>
      </c>
    </row>
    <row r="96" spans="1:7" ht="12.75">
      <c r="A96" s="5"/>
      <c r="B96" s="5"/>
      <c r="C96" s="5"/>
      <c r="D96" s="5"/>
      <c r="E96" s="5"/>
      <c r="F96" s="5" t="s">
        <v>270</v>
      </c>
      <c r="G96" s="17">
        <v>-1.6</v>
      </c>
    </row>
    <row r="97" spans="1:7" ht="12.75">
      <c r="A97" s="5"/>
      <c r="B97" s="5"/>
      <c r="C97" s="5"/>
      <c r="D97" s="5"/>
      <c r="E97" s="5"/>
      <c r="F97" s="5" t="s">
        <v>271</v>
      </c>
      <c r="G97" s="17">
        <v>31.248</v>
      </c>
    </row>
    <row r="98" spans="1:7" ht="12.75">
      <c r="A98" s="5"/>
      <c r="B98" s="5"/>
      <c r="C98" s="5"/>
      <c r="D98" s="5"/>
      <c r="E98" s="5"/>
      <c r="F98" s="5" t="s">
        <v>270</v>
      </c>
      <c r="G98" s="17">
        <v>-1.6</v>
      </c>
    </row>
    <row r="99" spans="1:7" ht="12.75">
      <c r="A99" s="5"/>
      <c r="B99" s="5"/>
      <c r="C99" s="5"/>
      <c r="D99" s="5"/>
      <c r="E99" s="5"/>
      <c r="F99" s="5" t="s">
        <v>272</v>
      </c>
      <c r="G99" s="17">
        <v>8.9</v>
      </c>
    </row>
    <row r="100" spans="1:7" ht="12.75">
      <c r="A100" s="5"/>
      <c r="B100" s="5"/>
      <c r="C100" s="5"/>
      <c r="D100" s="5"/>
      <c r="E100" s="5"/>
      <c r="F100" s="5" t="s">
        <v>273</v>
      </c>
      <c r="G100" s="17">
        <v>-7.9</v>
      </c>
    </row>
    <row r="101" spans="1:7" ht="12.75">
      <c r="A101" s="5"/>
      <c r="B101" s="5"/>
      <c r="C101" s="5"/>
      <c r="D101" s="5"/>
      <c r="E101" s="5"/>
      <c r="F101" s="5" t="s">
        <v>274</v>
      </c>
      <c r="G101" s="17">
        <v>90.072</v>
      </c>
    </row>
    <row r="102" spans="1:7" ht="12.75">
      <c r="A102" s="5"/>
      <c r="B102" s="5"/>
      <c r="C102" s="5"/>
      <c r="D102" s="5"/>
      <c r="E102" s="5"/>
      <c r="F102" s="5" t="s">
        <v>275</v>
      </c>
      <c r="G102" s="17">
        <v>100.152</v>
      </c>
    </row>
    <row r="103" spans="1:7" ht="12.75">
      <c r="A103" s="5"/>
      <c r="B103" s="5"/>
      <c r="C103" s="5"/>
      <c r="D103" s="5"/>
      <c r="E103" s="5"/>
      <c r="F103" s="5" t="s">
        <v>276</v>
      </c>
      <c r="G103" s="17">
        <v>-3.16</v>
      </c>
    </row>
    <row r="104" spans="1:7" ht="12.75">
      <c r="A104" s="5"/>
      <c r="B104" s="5"/>
      <c r="C104" s="5"/>
      <c r="D104" s="5"/>
      <c r="E104" s="5"/>
      <c r="F104" s="5" t="s">
        <v>277</v>
      </c>
      <c r="G104" s="17">
        <v>61.92</v>
      </c>
    </row>
    <row r="105" spans="1:7" ht="12.75">
      <c r="A105" s="5"/>
      <c r="B105" s="5"/>
      <c r="C105" s="5"/>
      <c r="D105" s="5"/>
      <c r="E105" s="5"/>
      <c r="F105" s="5" t="s">
        <v>278</v>
      </c>
      <c r="G105" s="17">
        <v>-3.16</v>
      </c>
    </row>
    <row r="106" spans="1:7" ht="12.75">
      <c r="A106" s="5"/>
      <c r="B106" s="5"/>
      <c r="C106" s="5"/>
      <c r="D106" s="5"/>
      <c r="E106" s="5"/>
      <c r="F106" s="5" t="s">
        <v>279</v>
      </c>
      <c r="G106" s="17">
        <v>33.048</v>
      </c>
    </row>
    <row r="107" spans="1:7" ht="12.75">
      <c r="A107" s="5"/>
      <c r="B107" s="5"/>
      <c r="C107" s="5"/>
      <c r="D107" s="5"/>
      <c r="E107" s="5"/>
      <c r="F107" s="5" t="s">
        <v>280</v>
      </c>
      <c r="G107" s="17">
        <v>-3.2</v>
      </c>
    </row>
    <row r="108" spans="1:7" ht="12.75">
      <c r="A108" s="5"/>
      <c r="B108" s="5"/>
      <c r="C108" s="5"/>
      <c r="D108" s="5"/>
      <c r="E108" s="5"/>
      <c r="F108" s="5" t="s">
        <v>281</v>
      </c>
      <c r="G108" s="17">
        <v>34.632</v>
      </c>
    </row>
    <row r="109" spans="1:7" ht="12.75">
      <c r="A109" s="5"/>
      <c r="B109" s="5"/>
      <c r="C109" s="5"/>
      <c r="D109" s="5"/>
      <c r="E109" s="5"/>
      <c r="F109" s="5" t="s">
        <v>282</v>
      </c>
      <c r="G109" s="17">
        <v>-2.8</v>
      </c>
    </row>
    <row r="110" spans="1:7" ht="12.75">
      <c r="A110" s="5"/>
      <c r="B110" s="5"/>
      <c r="C110" s="5"/>
      <c r="D110" s="5"/>
      <c r="E110" s="5"/>
      <c r="F110" s="5" t="s">
        <v>283</v>
      </c>
      <c r="G110" s="17">
        <v>13.32</v>
      </c>
    </row>
    <row r="111" spans="1:7" ht="12.75">
      <c r="A111" s="5"/>
      <c r="B111" s="5"/>
      <c r="C111" s="5"/>
      <c r="D111" s="5"/>
      <c r="E111" s="5"/>
      <c r="F111" s="5" t="s">
        <v>284</v>
      </c>
      <c r="G111" s="17">
        <v>-1.2</v>
      </c>
    </row>
    <row r="112" spans="1:7" ht="12.75">
      <c r="A112" s="5"/>
      <c r="B112" s="5"/>
      <c r="C112" s="5"/>
      <c r="D112" s="5"/>
      <c r="E112" s="5"/>
      <c r="F112" s="5" t="s">
        <v>285</v>
      </c>
      <c r="G112" s="17">
        <v>32.328</v>
      </c>
    </row>
    <row r="113" spans="1:7" ht="12.75">
      <c r="A113" s="5"/>
      <c r="B113" s="5"/>
      <c r="C113" s="5"/>
      <c r="D113" s="5"/>
      <c r="E113" s="5"/>
      <c r="F113" s="5" t="s">
        <v>286</v>
      </c>
      <c r="G113" s="17">
        <v>-3.2</v>
      </c>
    </row>
    <row r="114" spans="1:7" ht="12.75">
      <c r="A114" s="5"/>
      <c r="B114" s="5"/>
      <c r="C114" s="5"/>
      <c r="D114" s="5"/>
      <c r="E114" s="5"/>
      <c r="F114" s="5" t="s">
        <v>287</v>
      </c>
      <c r="G114" s="17">
        <v>93.816</v>
      </c>
    </row>
    <row r="115" spans="1:7" ht="12.75">
      <c r="A115" s="5"/>
      <c r="B115" s="5"/>
      <c r="C115" s="5"/>
      <c r="D115" s="5"/>
      <c r="E115" s="5"/>
      <c r="F115" s="5" t="s">
        <v>270</v>
      </c>
      <c r="G115" s="17">
        <v>-1.6</v>
      </c>
    </row>
    <row r="116" spans="1:7" ht="12.75">
      <c r="A116" s="5"/>
      <c r="B116" s="5"/>
      <c r="C116" s="5"/>
      <c r="D116" s="5"/>
      <c r="E116" s="5"/>
      <c r="F116" s="5" t="s">
        <v>288</v>
      </c>
      <c r="G116" s="17">
        <v>48.528</v>
      </c>
    </row>
    <row r="117" spans="1:7" ht="12.75">
      <c r="A117" s="5"/>
      <c r="B117" s="5"/>
      <c r="C117" s="5"/>
      <c r="D117" s="5"/>
      <c r="E117" s="5"/>
      <c r="F117" s="5" t="s">
        <v>270</v>
      </c>
      <c r="G117" s="17">
        <v>-1.6</v>
      </c>
    </row>
    <row r="118" spans="1:7" ht="12.75">
      <c r="A118" s="5"/>
      <c r="B118" s="5"/>
      <c r="C118" s="5"/>
      <c r="D118" s="5"/>
      <c r="E118" s="5"/>
      <c r="F118" s="5" t="s">
        <v>289</v>
      </c>
      <c r="G118" s="17">
        <v>36.72</v>
      </c>
    </row>
    <row r="119" spans="1:7" ht="12.75">
      <c r="A119" s="5"/>
      <c r="B119" s="5"/>
      <c r="C119" s="5"/>
      <c r="D119" s="5"/>
      <c r="E119" s="5"/>
      <c r="F119" s="5" t="s">
        <v>265</v>
      </c>
      <c r="G119" s="17">
        <v>-1.8</v>
      </c>
    </row>
    <row r="120" spans="1:7" ht="12.75">
      <c r="A120" s="5"/>
      <c r="B120" s="5"/>
      <c r="C120" s="5"/>
      <c r="D120" s="5"/>
      <c r="E120" s="5"/>
      <c r="F120" s="5" t="s">
        <v>290</v>
      </c>
      <c r="G120" s="17">
        <v>36.36</v>
      </c>
    </row>
    <row r="121" spans="1:7" ht="12.75">
      <c r="A121" s="5"/>
      <c r="B121" s="5"/>
      <c r="C121" s="5"/>
      <c r="D121" s="5"/>
      <c r="E121" s="5"/>
      <c r="F121" s="5" t="s">
        <v>291</v>
      </c>
      <c r="G121" s="17">
        <v>-9.05</v>
      </c>
    </row>
    <row r="122" spans="1:7" ht="12.75">
      <c r="A122" s="5"/>
      <c r="B122" s="5"/>
      <c r="C122" s="5"/>
      <c r="D122" s="5"/>
      <c r="E122" s="5"/>
      <c r="F122" s="5" t="s">
        <v>292</v>
      </c>
      <c r="G122" s="17">
        <v>45.792</v>
      </c>
    </row>
    <row r="123" spans="1:7" ht="12.75">
      <c r="A123" s="5"/>
      <c r="B123" s="5"/>
      <c r="C123" s="5"/>
      <c r="D123" s="5"/>
      <c r="E123" s="5"/>
      <c r="F123" s="5" t="s">
        <v>293</v>
      </c>
      <c r="G123" s="17">
        <v>-3.4</v>
      </c>
    </row>
    <row r="124" spans="1:7" ht="12.75">
      <c r="A124" s="5"/>
      <c r="B124" s="5"/>
      <c r="C124" s="5"/>
      <c r="D124" s="5"/>
      <c r="E124" s="5"/>
      <c r="F124" s="5" t="s">
        <v>294</v>
      </c>
      <c r="G124" s="17">
        <v>58.896</v>
      </c>
    </row>
    <row r="125" spans="1:7" ht="12.75">
      <c r="A125" s="5"/>
      <c r="B125" s="5"/>
      <c r="C125" s="5"/>
      <c r="D125" s="5"/>
      <c r="E125" s="5"/>
      <c r="F125" s="5" t="s">
        <v>295</v>
      </c>
      <c r="G125" s="17">
        <v>-3.4</v>
      </c>
    </row>
    <row r="126" spans="1:7" ht="12.75">
      <c r="A126" s="5"/>
      <c r="B126" s="5"/>
      <c r="C126" s="5"/>
      <c r="D126" s="5"/>
      <c r="E126" s="5"/>
      <c r="F126" s="5" t="s">
        <v>296</v>
      </c>
      <c r="G126" s="17">
        <v>109.944</v>
      </c>
    </row>
    <row r="127" spans="1:7" ht="12.75">
      <c r="A127" s="5"/>
      <c r="B127" s="5"/>
      <c r="C127" s="5"/>
      <c r="D127" s="5"/>
      <c r="E127" s="5"/>
      <c r="F127" s="5" t="s">
        <v>297</v>
      </c>
      <c r="G127" s="17">
        <v>-12.8109</v>
      </c>
    </row>
    <row r="128" spans="1:7" ht="12.75">
      <c r="A128" s="5"/>
      <c r="B128" s="5"/>
      <c r="C128" s="5"/>
      <c r="D128" s="5"/>
      <c r="E128" s="5"/>
      <c r="F128" s="5" t="s">
        <v>298</v>
      </c>
      <c r="G128" s="17">
        <v>103.032</v>
      </c>
    </row>
    <row r="129" spans="1:7" ht="12.75">
      <c r="A129" s="5"/>
      <c r="B129" s="5"/>
      <c r="C129" s="5"/>
      <c r="D129" s="5"/>
      <c r="E129" s="5"/>
      <c r="F129" s="5" t="s">
        <v>299</v>
      </c>
      <c r="G129" s="17">
        <v>-12.4109</v>
      </c>
    </row>
    <row r="130" spans="1:7" ht="12.75">
      <c r="A130" s="5"/>
      <c r="B130" s="5"/>
      <c r="C130" s="5"/>
      <c r="D130" s="5"/>
      <c r="E130" s="5"/>
      <c r="F130" s="5" t="s">
        <v>300</v>
      </c>
      <c r="G130" s="17">
        <v>117.504</v>
      </c>
    </row>
    <row r="131" spans="1:7" ht="12.75">
      <c r="A131" s="5"/>
      <c r="B131" s="5"/>
      <c r="C131" s="5"/>
      <c r="D131" s="5"/>
      <c r="E131" s="5"/>
      <c r="F131" s="5" t="s">
        <v>265</v>
      </c>
      <c r="G131" s="17">
        <v>-1.8</v>
      </c>
    </row>
    <row r="132" spans="1:7" ht="12.75">
      <c r="A132" s="5"/>
      <c r="B132" s="5"/>
      <c r="C132" s="5"/>
      <c r="D132" s="5"/>
      <c r="E132" s="5"/>
      <c r="F132" s="5" t="s">
        <v>301</v>
      </c>
      <c r="G132" s="17">
        <v>113.544</v>
      </c>
    </row>
    <row r="133" spans="1:7" ht="12.75">
      <c r="A133" s="5"/>
      <c r="B133" s="5"/>
      <c r="C133" s="5"/>
      <c r="D133" s="5"/>
      <c r="E133" s="5"/>
      <c r="F133" s="5" t="s">
        <v>265</v>
      </c>
      <c r="G133" s="17">
        <v>-1.8</v>
      </c>
    </row>
    <row r="134" spans="1:7" ht="12.75">
      <c r="A134" s="5"/>
      <c r="B134" s="5"/>
      <c r="C134" s="5"/>
      <c r="D134" s="5"/>
      <c r="E134" s="5"/>
      <c r="F134" s="5" t="s">
        <v>302</v>
      </c>
      <c r="G134" s="17">
        <v>70.416</v>
      </c>
    </row>
    <row r="135" spans="1:7" ht="12.75">
      <c r="A135" s="5"/>
      <c r="B135" s="5"/>
      <c r="C135" s="5"/>
      <c r="D135" s="5"/>
      <c r="E135" s="5"/>
      <c r="F135" s="5" t="s">
        <v>265</v>
      </c>
      <c r="G135" s="17">
        <v>-1.8</v>
      </c>
    </row>
    <row r="136" spans="1:7" ht="12.75">
      <c r="A136" s="5"/>
      <c r="B136" s="5"/>
      <c r="C136" s="5"/>
      <c r="D136" s="5"/>
      <c r="E136" s="5"/>
      <c r="F136" s="5" t="s">
        <v>303</v>
      </c>
      <c r="G136" s="17">
        <v>113.328</v>
      </c>
    </row>
    <row r="137" spans="1:7" ht="12.75">
      <c r="A137" s="5"/>
      <c r="B137" s="5"/>
      <c r="C137" s="5"/>
      <c r="D137" s="5"/>
      <c r="E137" s="5"/>
      <c r="F137" s="5" t="s">
        <v>265</v>
      </c>
      <c r="G137" s="17">
        <v>-1.8</v>
      </c>
    </row>
    <row r="138" spans="1:7" ht="12.75">
      <c r="A138" s="5"/>
      <c r="B138" s="5"/>
      <c r="C138" s="5"/>
      <c r="D138" s="5"/>
      <c r="E138" s="5"/>
      <c r="F138" s="5" t="s">
        <v>304</v>
      </c>
      <c r="G138" s="17">
        <v>119.16</v>
      </c>
    </row>
    <row r="139" spans="1:7" ht="12.75">
      <c r="A139" s="5"/>
      <c r="B139" s="5"/>
      <c r="C139" s="5"/>
      <c r="D139" s="5"/>
      <c r="E139" s="5"/>
      <c r="F139" s="5" t="s">
        <v>265</v>
      </c>
      <c r="G139" s="17">
        <v>-1.8</v>
      </c>
    </row>
    <row r="140" spans="1:7" ht="12.75">
      <c r="A140" s="5"/>
      <c r="B140" s="5"/>
      <c r="C140" s="5"/>
      <c r="D140" s="5"/>
      <c r="E140" s="5"/>
      <c r="F140" s="5" t="s">
        <v>305</v>
      </c>
      <c r="G140" s="17">
        <v>102.384</v>
      </c>
    </row>
    <row r="141" spans="1:7" ht="12.75">
      <c r="A141" s="5"/>
      <c r="B141" s="5"/>
      <c r="C141" s="5"/>
      <c r="D141" s="5"/>
      <c r="E141" s="5"/>
      <c r="F141" s="5" t="s">
        <v>306</v>
      </c>
      <c r="G141" s="17">
        <v>-1.6</v>
      </c>
    </row>
    <row r="142" spans="1:7" ht="12.75">
      <c r="A142" s="5"/>
      <c r="B142" s="5"/>
      <c r="C142" s="5"/>
      <c r="D142" s="5"/>
      <c r="E142" s="5"/>
      <c r="F142" s="5" t="s">
        <v>307</v>
      </c>
      <c r="G142" s="17">
        <v>22.32</v>
      </c>
    </row>
    <row r="143" spans="1:7" ht="12.75">
      <c r="A143" s="5"/>
      <c r="B143" s="5"/>
      <c r="C143" s="5"/>
      <c r="D143" s="5"/>
      <c r="E143" s="5"/>
      <c r="F143" s="5" t="s">
        <v>306</v>
      </c>
      <c r="G143" s="17">
        <v>-1.6</v>
      </c>
    </row>
    <row r="144" spans="1:7" ht="12.75">
      <c r="A144" s="5"/>
      <c r="B144" s="5"/>
      <c r="C144" s="5"/>
      <c r="D144" s="5"/>
      <c r="E144" s="5"/>
      <c r="F144" s="5" t="s">
        <v>308</v>
      </c>
      <c r="G144" s="17">
        <v>117.576</v>
      </c>
    </row>
    <row r="145" spans="1:7" ht="12.75">
      <c r="A145" s="5"/>
      <c r="B145" s="5"/>
      <c r="C145" s="5"/>
      <c r="D145" s="5"/>
      <c r="E145" s="5"/>
      <c r="F145" s="5" t="s">
        <v>265</v>
      </c>
      <c r="G145" s="17">
        <v>-1.8</v>
      </c>
    </row>
    <row r="146" spans="1:7" ht="12.75">
      <c r="A146" s="5"/>
      <c r="B146" s="5"/>
      <c r="C146" s="5"/>
      <c r="D146" s="5"/>
      <c r="E146" s="5"/>
      <c r="F146" s="5" t="s">
        <v>309</v>
      </c>
      <c r="G146" s="17">
        <v>30.81</v>
      </c>
    </row>
    <row r="147" spans="1:7" ht="12.75">
      <c r="A147" s="5"/>
      <c r="B147" s="5"/>
      <c r="C147" s="5"/>
      <c r="D147" s="5"/>
      <c r="E147" s="5"/>
      <c r="F147" s="5" t="s">
        <v>310</v>
      </c>
      <c r="G147" s="17">
        <v>-11.554</v>
      </c>
    </row>
    <row r="148" spans="1:7" ht="12.75">
      <c r="A148" s="5"/>
      <c r="B148" s="5"/>
      <c r="C148" s="5"/>
      <c r="D148" s="5"/>
      <c r="E148" s="5"/>
      <c r="F148" s="5" t="s">
        <v>311</v>
      </c>
      <c r="G148" s="17">
        <v>104.4</v>
      </c>
    </row>
    <row r="149" spans="1:7" ht="12.75">
      <c r="A149" s="5"/>
      <c r="B149" s="5"/>
      <c r="C149" s="5"/>
      <c r="D149" s="5"/>
      <c r="E149" s="5"/>
      <c r="F149" s="5" t="s">
        <v>312</v>
      </c>
      <c r="G149" s="17">
        <v>-9.584</v>
      </c>
    </row>
    <row r="150" spans="1:7" ht="12.75">
      <c r="A150" s="5"/>
      <c r="B150" s="5"/>
      <c r="C150" s="5"/>
      <c r="D150" s="5"/>
      <c r="E150" s="5"/>
      <c r="F150" s="5" t="s">
        <v>313</v>
      </c>
      <c r="G150" s="17">
        <v>119.376</v>
      </c>
    </row>
    <row r="151" spans="1:7" ht="12.75">
      <c r="A151" s="5"/>
      <c r="B151" s="5"/>
      <c r="C151" s="5"/>
      <c r="D151" s="5"/>
      <c r="E151" s="5"/>
      <c r="F151" s="5" t="s">
        <v>314</v>
      </c>
      <c r="G151" s="17">
        <v>-1.8</v>
      </c>
    </row>
    <row r="152" spans="1:7" ht="12.75">
      <c r="A152" s="5"/>
      <c r="B152" s="5"/>
      <c r="C152" s="5"/>
      <c r="D152" s="5"/>
      <c r="E152" s="5"/>
      <c r="F152" s="5" t="s">
        <v>315</v>
      </c>
      <c r="G152" s="17">
        <v>113.544</v>
      </c>
    </row>
    <row r="153" spans="1:7" ht="12.75">
      <c r="A153" s="5"/>
      <c r="B153" s="5"/>
      <c r="C153" s="5"/>
      <c r="D153" s="5"/>
      <c r="E153" s="5"/>
      <c r="F153" s="5" t="s">
        <v>316</v>
      </c>
      <c r="G153" s="17">
        <v>-3.6</v>
      </c>
    </row>
    <row r="154" spans="1:7" ht="12.75">
      <c r="A154" s="5"/>
      <c r="B154" s="5"/>
      <c r="C154" s="5"/>
      <c r="D154" s="5"/>
      <c r="E154" s="5"/>
      <c r="F154" s="5" t="s">
        <v>317</v>
      </c>
      <c r="G154" s="17">
        <v>92.664</v>
      </c>
    </row>
    <row r="155" spans="1:7" ht="12.75">
      <c r="A155" s="5"/>
      <c r="B155" s="5"/>
      <c r="C155" s="5"/>
      <c r="D155" s="5"/>
      <c r="E155" s="5"/>
      <c r="F155" s="5" t="s">
        <v>316</v>
      </c>
      <c r="G155" s="17">
        <v>-3.6</v>
      </c>
    </row>
    <row r="156" spans="1:7" ht="12.75">
      <c r="A156" s="5"/>
      <c r="B156" s="5"/>
      <c r="C156" s="5"/>
      <c r="D156" s="5"/>
      <c r="E156" s="5"/>
      <c r="F156" s="5" t="s">
        <v>318</v>
      </c>
      <c r="G156" s="17">
        <v>62.136</v>
      </c>
    </row>
    <row r="157" spans="1:7" ht="12.75">
      <c r="A157" s="5"/>
      <c r="B157" s="5"/>
      <c r="C157" s="5"/>
      <c r="D157" s="5"/>
      <c r="E157" s="5"/>
      <c r="F157" s="5" t="s">
        <v>265</v>
      </c>
      <c r="G157" s="17">
        <v>-1.8</v>
      </c>
    </row>
    <row r="158" spans="1:7" ht="12.75">
      <c r="A158" s="5"/>
      <c r="B158" s="5"/>
      <c r="C158" s="5"/>
      <c r="D158" s="5"/>
      <c r="E158" s="5"/>
      <c r="F158" s="5" t="s">
        <v>319</v>
      </c>
      <c r="G158" s="17">
        <v>119.16</v>
      </c>
    </row>
    <row r="159" spans="1:7" ht="12.75">
      <c r="A159" s="5"/>
      <c r="B159" s="5"/>
      <c r="C159" s="5"/>
      <c r="D159" s="5"/>
      <c r="E159" s="5"/>
      <c r="F159" s="5" t="s">
        <v>316</v>
      </c>
      <c r="G159" s="17">
        <v>-3.6</v>
      </c>
    </row>
    <row r="160" spans="1:7" ht="12.75">
      <c r="A160" s="5"/>
      <c r="B160" s="5"/>
      <c r="C160" s="5"/>
      <c r="D160" s="5"/>
      <c r="E160" s="5"/>
      <c r="F160" s="5" t="s">
        <v>320</v>
      </c>
      <c r="G160" s="17">
        <v>78.84</v>
      </c>
    </row>
    <row r="161" spans="1:7" ht="12.75">
      <c r="A161" s="5"/>
      <c r="B161" s="5"/>
      <c r="C161" s="5"/>
      <c r="D161" s="5"/>
      <c r="E161" s="5"/>
      <c r="F161" s="5" t="s">
        <v>265</v>
      </c>
      <c r="G161" s="17">
        <v>-1.8</v>
      </c>
    </row>
    <row r="162" spans="1:7" ht="12.75">
      <c r="A162" s="5"/>
      <c r="B162" s="5"/>
      <c r="C162" s="5"/>
      <c r="D162" s="5"/>
      <c r="E162" s="5"/>
      <c r="F162" s="5" t="s">
        <v>321</v>
      </c>
      <c r="G162" s="17">
        <v>99.36</v>
      </c>
    </row>
    <row r="163" spans="1:7" ht="12.75">
      <c r="A163" s="5"/>
      <c r="B163" s="5"/>
      <c r="C163" s="5"/>
      <c r="D163" s="5"/>
      <c r="E163" s="5"/>
      <c r="F163" s="5" t="s">
        <v>322</v>
      </c>
      <c r="G163" s="17">
        <v>-3</v>
      </c>
    </row>
    <row r="164" spans="1:7" ht="12.75">
      <c r="A164" s="5"/>
      <c r="B164" s="5"/>
      <c r="C164" s="5"/>
      <c r="D164" s="5"/>
      <c r="E164" s="5"/>
      <c r="F164" s="5" t="s">
        <v>323</v>
      </c>
      <c r="G164" s="17">
        <v>22.896</v>
      </c>
    </row>
    <row r="165" spans="1:7" ht="12.75">
      <c r="A165" s="5"/>
      <c r="B165" s="5"/>
      <c r="C165" s="5"/>
      <c r="D165" s="5"/>
      <c r="E165" s="5"/>
      <c r="F165" s="5" t="s">
        <v>284</v>
      </c>
      <c r="G165" s="17">
        <v>-1.2</v>
      </c>
    </row>
    <row r="166" spans="1:7" ht="12.75">
      <c r="A166" s="5"/>
      <c r="B166" s="5"/>
      <c r="C166" s="5"/>
      <c r="D166" s="5"/>
      <c r="E166" s="5"/>
      <c r="F166" s="5" t="s">
        <v>324</v>
      </c>
      <c r="G166" s="17">
        <v>118.08</v>
      </c>
    </row>
    <row r="167" spans="1:7" ht="12.75">
      <c r="A167" s="5"/>
      <c r="B167" s="5"/>
      <c r="C167" s="5"/>
      <c r="D167" s="5"/>
      <c r="E167" s="5"/>
      <c r="F167" s="5" t="s">
        <v>265</v>
      </c>
      <c r="G167" s="17">
        <v>-1.8</v>
      </c>
    </row>
    <row r="168" spans="1:7" ht="12.75">
      <c r="A168" s="5"/>
      <c r="B168" s="5"/>
      <c r="C168" s="5"/>
      <c r="D168" s="5"/>
      <c r="E168" s="5"/>
      <c r="F168" s="5" t="s">
        <v>325</v>
      </c>
      <c r="G168" s="17">
        <v>32.812</v>
      </c>
    </row>
    <row r="169" spans="1:7" ht="12.75">
      <c r="A169" s="5"/>
      <c r="B169" s="5"/>
      <c r="C169" s="5"/>
      <c r="D169" s="5"/>
      <c r="E169" s="5"/>
      <c r="F169" s="5" t="s">
        <v>326</v>
      </c>
      <c r="G169" s="17">
        <v>0</v>
      </c>
    </row>
    <row r="170" spans="1:7" ht="12.75">
      <c r="A170" s="5"/>
      <c r="B170" s="5"/>
      <c r="C170" s="5"/>
      <c r="D170" s="5"/>
      <c r="E170" s="5"/>
      <c r="F170" s="5" t="s">
        <v>327</v>
      </c>
      <c r="G170" s="17">
        <v>76.104</v>
      </c>
    </row>
    <row r="171" spans="1:7" ht="12.75">
      <c r="A171" s="5"/>
      <c r="B171" s="5"/>
      <c r="C171" s="5"/>
      <c r="D171" s="5"/>
      <c r="E171" s="5"/>
      <c r="F171" s="5" t="s">
        <v>328</v>
      </c>
      <c r="G171" s="17">
        <v>-3.3756</v>
      </c>
    </row>
    <row r="172" spans="1:7" ht="12.75">
      <c r="A172" s="5"/>
      <c r="B172" s="5"/>
      <c r="C172" s="5"/>
      <c r="D172" s="5"/>
      <c r="E172" s="5"/>
      <c r="F172" s="5" t="s">
        <v>329</v>
      </c>
      <c r="G172" s="17">
        <v>60.704</v>
      </c>
    </row>
    <row r="173" spans="1:7" ht="12.75">
      <c r="A173" s="5"/>
      <c r="B173" s="5"/>
      <c r="C173" s="5"/>
      <c r="D173" s="5"/>
      <c r="E173" s="5"/>
      <c r="F173" s="5" t="s">
        <v>330</v>
      </c>
      <c r="G173" s="17">
        <v>-3.1756</v>
      </c>
    </row>
    <row r="174" spans="1:7" ht="12.75">
      <c r="A174" s="5"/>
      <c r="B174" s="5"/>
      <c r="C174" s="5"/>
      <c r="D174" s="5"/>
      <c r="E174" s="5"/>
      <c r="F174" s="5" t="s">
        <v>331</v>
      </c>
      <c r="G174" s="17">
        <v>63.504</v>
      </c>
    </row>
    <row r="175" spans="1:7" ht="12.75">
      <c r="A175" s="5"/>
      <c r="B175" s="5"/>
      <c r="C175" s="5"/>
      <c r="D175" s="5"/>
      <c r="E175" s="5"/>
      <c r="F175" s="5" t="s">
        <v>332</v>
      </c>
      <c r="G175" s="17">
        <v>-9.1</v>
      </c>
    </row>
    <row r="176" spans="1:7" ht="12.75">
      <c r="A176" s="5"/>
      <c r="B176" s="5"/>
      <c r="C176" s="5"/>
      <c r="D176" s="5"/>
      <c r="E176" s="5"/>
      <c r="F176" s="5" t="s">
        <v>333</v>
      </c>
      <c r="G176" s="17">
        <v>60.648</v>
      </c>
    </row>
    <row r="177" spans="1:7" ht="12.75">
      <c r="A177" s="5"/>
      <c r="B177" s="5"/>
      <c r="C177" s="5"/>
      <c r="D177" s="5"/>
      <c r="E177" s="5"/>
      <c r="F177" s="5" t="s">
        <v>334</v>
      </c>
      <c r="G177" s="17">
        <v>-3.6</v>
      </c>
    </row>
    <row r="178" spans="1:7" ht="12.75">
      <c r="A178" s="5"/>
      <c r="B178" s="5"/>
      <c r="C178" s="5"/>
      <c r="D178" s="5"/>
      <c r="E178" s="5"/>
      <c r="F178" s="5" t="s">
        <v>335</v>
      </c>
      <c r="G178" s="17">
        <v>60.592</v>
      </c>
    </row>
    <row r="179" spans="1:7" ht="12.75">
      <c r="A179" s="5"/>
      <c r="B179" s="5"/>
      <c r="C179" s="5"/>
      <c r="D179" s="5"/>
      <c r="E179" s="5"/>
      <c r="F179" s="5" t="s">
        <v>336</v>
      </c>
      <c r="G179" s="17">
        <v>-5.06</v>
      </c>
    </row>
    <row r="180" spans="1:7" ht="12.75">
      <c r="A180" s="5"/>
      <c r="B180" s="5"/>
      <c r="C180" s="5"/>
      <c r="D180" s="5"/>
      <c r="E180" s="5"/>
      <c r="F180" s="5" t="s">
        <v>337</v>
      </c>
      <c r="G180" s="17">
        <v>21.168</v>
      </c>
    </row>
    <row r="181" spans="1:7" ht="12.75">
      <c r="A181" s="5"/>
      <c r="B181" s="5"/>
      <c r="C181" s="5"/>
      <c r="D181" s="5"/>
      <c r="E181" s="5"/>
      <c r="F181" s="5" t="s">
        <v>306</v>
      </c>
      <c r="G181" s="17">
        <v>-1.6</v>
      </c>
    </row>
    <row r="182" spans="1:7" ht="12.75">
      <c r="A182" s="5"/>
      <c r="B182" s="5"/>
      <c r="C182" s="5"/>
      <c r="D182" s="5"/>
      <c r="E182" s="5"/>
      <c r="F182" s="5" t="s">
        <v>338</v>
      </c>
      <c r="G182" s="17">
        <v>53.088</v>
      </c>
    </row>
    <row r="183" spans="1:7" ht="12.75">
      <c r="A183" s="5"/>
      <c r="B183" s="5"/>
      <c r="C183" s="5"/>
      <c r="D183" s="5"/>
      <c r="E183" s="5"/>
      <c r="F183" s="5" t="s">
        <v>295</v>
      </c>
      <c r="G183" s="17">
        <v>-3.4</v>
      </c>
    </row>
    <row r="184" spans="1:7" ht="12.75">
      <c r="A184" s="5"/>
      <c r="B184" s="5"/>
      <c r="C184" s="5"/>
      <c r="D184" s="5"/>
      <c r="E184" s="5"/>
      <c r="F184" s="5" t="s">
        <v>339</v>
      </c>
      <c r="G184" s="17">
        <v>46.368</v>
      </c>
    </row>
    <row r="185" spans="1:7" ht="12.75">
      <c r="A185" s="5"/>
      <c r="B185" s="5"/>
      <c r="C185" s="5"/>
      <c r="D185" s="5"/>
      <c r="E185" s="5"/>
      <c r="F185" s="5" t="s">
        <v>340</v>
      </c>
      <c r="G185" s="17">
        <v>-3.6</v>
      </c>
    </row>
    <row r="186" spans="1:7" ht="12.75">
      <c r="A186" s="5"/>
      <c r="B186" s="5"/>
      <c r="C186" s="5"/>
      <c r="D186" s="5"/>
      <c r="E186" s="5"/>
      <c r="F186" s="5" t="s">
        <v>341</v>
      </c>
      <c r="G186" s="17">
        <v>-259.379</v>
      </c>
    </row>
    <row r="187" spans="1:8" ht="12.75">
      <c r="A187" s="5" t="s">
        <v>54</v>
      </c>
      <c r="B187" s="5" t="s">
        <v>419</v>
      </c>
      <c r="C187" s="5" t="s">
        <v>131</v>
      </c>
      <c r="D187" s="5" t="s">
        <v>342</v>
      </c>
      <c r="E187" s="5" t="s">
        <v>384</v>
      </c>
      <c r="F187" s="5" t="s">
        <v>343</v>
      </c>
      <c r="G187" s="17">
        <v>3.099</v>
      </c>
      <c r="H187" s="30" t="s">
        <v>407</v>
      </c>
    </row>
    <row r="188" spans="1:8" ht="12.75">
      <c r="A188" s="5" t="s">
        <v>55</v>
      </c>
      <c r="B188" s="5" t="s">
        <v>419</v>
      </c>
      <c r="C188" s="5" t="s">
        <v>132</v>
      </c>
      <c r="D188" s="5" t="s">
        <v>345</v>
      </c>
      <c r="E188" s="5" t="s">
        <v>384</v>
      </c>
      <c r="G188" s="17">
        <v>1495.01</v>
      </c>
      <c r="H188" s="30" t="s">
        <v>407</v>
      </c>
    </row>
    <row r="189" spans="6:7" ht="12.75">
      <c r="F189" s="5" t="s">
        <v>346</v>
      </c>
      <c r="G189" s="17">
        <v>60.92</v>
      </c>
    </row>
    <row r="190" spans="1:7" ht="12.75">
      <c r="A190" s="5"/>
      <c r="B190" s="5"/>
      <c r="C190" s="5"/>
      <c r="D190" s="5"/>
      <c r="E190" s="5"/>
      <c r="F190" s="5" t="s">
        <v>347</v>
      </c>
      <c r="G190" s="17">
        <v>168.16</v>
      </c>
    </row>
    <row r="191" spans="1:7" ht="12.75">
      <c r="A191" s="5"/>
      <c r="B191" s="5"/>
      <c r="C191" s="5"/>
      <c r="D191" s="5"/>
      <c r="E191" s="5"/>
      <c r="F191" s="5" t="s">
        <v>348</v>
      </c>
      <c r="G191" s="17">
        <v>176.86</v>
      </c>
    </row>
    <row r="192" spans="1:7" ht="12.75">
      <c r="A192" s="5"/>
      <c r="B192" s="5"/>
      <c r="C192" s="5"/>
      <c r="D192" s="5"/>
      <c r="E192" s="5"/>
      <c r="F192" s="5" t="s">
        <v>349</v>
      </c>
      <c r="G192" s="17">
        <v>47.77</v>
      </c>
    </row>
    <row r="193" spans="1:7" ht="12.75">
      <c r="A193" s="5"/>
      <c r="B193" s="5"/>
      <c r="C193" s="5"/>
      <c r="D193" s="5"/>
      <c r="E193" s="5"/>
      <c r="F193" s="5" t="s">
        <v>350</v>
      </c>
      <c r="G193" s="17">
        <v>420.37</v>
      </c>
    </row>
    <row r="194" spans="1:7" ht="12.75">
      <c r="A194" s="5"/>
      <c r="B194" s="5"/>
      <c r="C194" s="5"/>
      <c r="D194" s="5"/>
      <c r="E194" s="5"/>
      <c r="F194" s="5" t="s">
        <v>351</v>
      </c>
      <c r="G194" s="17">
        <v>426.03</v>
      </c>
    </row>
    <row r="195" spans="1:7" ht="12.75">
      <c r="A195" s="5"/>
      <c r="B195" s="5"/>
      <c r="C195" s="5"/>
      <c r="D195" s="5"/>
      <c r="E195" s="5"/>
      <c r="F195" s="5" t="s">
        <v>352</v>
      </c>
      <c r="G195" s="17">
        <v>194.9</v>
      </c>
    </row>
    <row r="196" spans="1:8" ht="12.75">
      <c r="A196" s="5" t="s">
        <v>56</v>
      </c>
      <c r="B196" s="5" t="s">
        <v>419</v>
      </c>
      <c r="C196" s="5" t="s">
        <v>134</v>
      </c>
      <c r="D196" s="5" t="s">
        <v>354</v>
      </c>
      <c r="E196" s="5" t="s">
        <v>387</v>
      </c>
      <c r="F196" s="5" t="s">
        <v>355</v>
      </c>
      <c r="G196" s="17">
        <v>1</v>
      </c>
      <c r="H196" s="30" t="s">
        <v>407</v>
      </c>
    </row>
    <row r="197" spans="1:8" ht="12.75">
      <c r="A197" s="5" t="s">
        <v>57</v>
      </c>
      <c r="B197" s="5" t="s">
        <v>419</v>
      </c>
      <c r="C197" s="5" t="s">
        <v>89</v>
      </c>
      <c r="D197" s="5" t="s">
        <v>178</v>
      </c>
      <c r="E197" s="5" t="s">
        <v>384</v>
      </c>
      <c r="G197" s="17">
        <v>4932.038</v>
      </c>
      <c r="H197" s="30" t="s">
        <v>407</v>
      </c>
    </row>
    <row r="198" spans="6:7" ht="12.75">
      <c r="F198" s="5" t="s">
        <v>356</v>
      </c>
      <c r="G198" s="17">
        <v>3437.028</v>
      </c>
    </row>
    <row r="199" spans="1:7" ht="12.75">
      <c r="A199" s="5"/>
      <c r="B199" s="5"/>
      <c r="C199" s="5"/>
      <c r="D199" s="5"/>
      <c r="E199" s="5"/>
      <c r="F199" s="5" t="s">
        <v>357</v>
      </c>
      <c r="G199" s="17">
        <v>1495.01</v>
      </c>
    </row>
    <row r="200" spans="1:8" ht="12.75">
      <c r="A200" s="5" t="s">
        <v>58</v>
      </c>
      <c r="B200" s="5" t="s">
        <v>419</v>
      </c>
      <c r="C200" s="5" t="s">
        <v>135</v>
      </c>
      <c r="D200" s="5" t="s">
        <v>358</v>
      </c>
      <c r="E200" s="5" t="s">
        <v>384</v>
      </c>
      <c r="F200" s="5" t="s">
        <v>359</v>
      </c>
      <c r="G200" s="17">
        <v>1432.09</v>
      </c>
      <c r="H200" s="30" t="s">
        <v>407</v>
      </c>
    </row>
    <row r="201" spans="1:8" ht="12.75">
      <c r="A201" s="5" t="s">
        <v>59</v>
      </c>
      <c r="B201" s="5" t="s">
        <v>419</v>
      </c>
      <c r="C201" s="5" t="s">
        <v>136</v>
      </c>
      <c r="D201" s="5" t="s">
        <v>360</v>
      </c>
      <c r="E201" s="5" t="s">
        <v>384</v>
      </c>
      <c r="G201" s="17">
        <v>3499.95</v>
      </c>
      <c r="H201" s="30" t="s">
        <v>407</v>
      </c>
    </row>
    <row r="202" spans="6:7" ht="12.75">
      <c r="F202" s="5" t="s">
        <v>361</v>
      </c>
      <c r="G202" s="17">
        <v>2004.94</v>
      </c>
    </row>
    <row r="203" spans="1:7" ht="12.75">
      <c r="A203" s="5"/>
      <c r="B203" s="5"/>
      <c r="C203" s="5"/>
      <c r="D203" s="5"/>
      <c r="E203" s="5"/>
      <c r="F203" s="5" t="s">
        <v>362</v>
      </c>
      <c r="G203" s="17">
        <v>1495.01</v>
      </c>
    </row>
    <row r="204" spans="1:8" ht="12.75">
      <c r="A204" s="5" t="s">
        <v>60</v>
      </c>
      <c r="B204" s="5" t="s">
        <v>419</v>
      </c>
      <c r="C204" s="5" t="s">
        <v>137</v>
      </c>
      <c r="D204" s="5" t="s">
        <v>363</v>
      </c>
      <c r="E204" s="5" t="s">
        <v>384</v>
      </c>
      <c r="F204" s="5" t="s">
        <v>364</v>
      </c>
      <c r="G204" s="17">
        <v>4932.038</v>
      </c>
      <c r="H204" s="30" t="s">
        <v>407</v>
      </c>
    </row>
    <row r="205" spans="1:8" ht="12.75">
      <c r="A205" s="5" t="s">
        <v>61</v>
      </c>
      <c r="B205" s="5" t="s">
        <v>419</v>
      </c>
      <c r="C205" s="5" t="s">
        <v>138</v>
      </c>
      <c r="D205" s="5" t="s">
        <v>365</v>
      </c>
      <c r="E205" s="5" t="s">
        <v>384</v>
      </c>
      <c r="F205" s="5" t="s">
        <v>364</v>
      </c>
      <c r="G205" s="17">
        <v>4932.038</v>
      </c>
      <c r="H205" s="30" t="s">
        <v>407</v>
      </c>
    </row>
    <row r="206" spans="1:8" ht="12.75">
      <c r="A206" s="5" t="s">
        <v>62</v>
      </c>
      <c r="B206" s="5" t="s">
        <v>419</v>
      </c>
      <c r="C206" s="5" t="s">
        <v>94</v>
      </c>
      <c r="D206" s="5" t="s">
        <v>185</v>
      </c>
      <c r="E206" s="5" t="s">
        <v>384</v>
      </c>
      <c r="F206" s="5" t="s">
        <v>366</v>
      </c>
      <c r="G206" s="17">
        <v>1495.01</v>
      </c>
      <c r="H206" s="30" t="s">
        <v>407</v>
      </c>
    </row>
    <row r="207" spans="1:8" ht="12.75">
      <c r="A207" s="5" t="s">
        <v>63</v>
      </c>
      <c r="B207" s="5" t="s">
        <v>419</v>
      </c>
      <c r="C207" s="5" t="s">
        <v>139</v>
      </c>
      <c r="D207" s="5" t="s">
        <v>367</v>
      </c>
      <c r="E207" s="5" t="s">
        <v>384</v>
      </c>
      <c r="F207" s="5" t="s">
        <v>368</v>
      </c>
      <c r="G207" s="17">
        <v>10.8</v>
      </c>
      <c r="H207" s="30" t="s">
        <v>407</v>
      </c>
    </row>
    <row r="208" spans="1:8" ht="12.75">
      <c r="A208" s="5" t="s">
        <v>64</v>
      </c>
      <c r="B208" s="5" t="s">
        <v>419</v>
      </c>
      <c r="C208" s="5" t="s">
        <v>140</v>
      </c>
      <c r="D208" s="5" t="s">
        <v>369</v>
      </c>
      <c r="E208" s="5" t="s">
        <v>384</v>
      </c>
      <c r="F208" s="5" t="s">
        <v>370</v>
      </c>
      <c r="G208" s="17">
        <v>3437.028</v>
      </c>
      <c r="H208" s="30" t="s">
        <v>407</v>
      </c>
    </row>
    <row r="209" spans="1:8" ht="12.75">
      <c r="A209" s="5" t="s">
        <v>65</v>
      </c>
      <c r="B209" s="5" t="s">
        <v>419</v>
      </c>
      <c r="C209" s="5" t="s">
        <v>141</v>
      </c>
      <c r="D209" s="5" t="s">
        <v>371</v>
      </c>
      <c r="E209" s="5" t="s">
        <v>383</v>
      </c>
      <c r="F209" s="5" t="s">
        <v>372</v>
      </c>
      <c r="G209" s="17">
        <v>14.301</v>
      </c>
      <c r="H209" s="30" t="s">
        <v>407</v>
      </c>
    </row>
    <row r="210" spans="1:8" ht="12.75">
      <c r="A210" s="5" t="s">
        <v>66</v>
      </c>
      <c r="B210" s="5" t="s">
        <v>419</v>
      </c>
      <c r="C210" s="5" t="s">
        <v>106</v>
      </c>
      <c r="D210" s="5" t="s">
        <v>205</v>
      </c>
      <c r="E210" s="5" t="s">
        <v>383</v>
      </c>
      <c r="F210" s="5" t="s">
        <v>373</v>
      </c>
      <c r="G210" s="17">
        <v>6.881</v>
      </c>
      <c r="H210" s="30" t="s">
        <v>407</v>
      </c>
    </row>
    <row r="211" spans="1:8" ht="12.75">
      <c r="A211" s="5" t="s">
        <v>67</v>
      </c>
      <c r="B211" s="5" t="s">
        <v>419</v>
      </c>
      <c r="C211" s="5" t="s">
        <v>107</v>
      </c>
      <c r="D211" s="5" t="s">
        <v>207</v>
      </c>
      <c r="E211" s="5" t="s">
        <v>383</v>
      </c>
      <c r="F211" s="5" t="s">
        <v>374</v>
      </c>
      <c r="G211" s="17">
        <v>6.881</v>
      </c>
      <c r="H211" s="30" t="s">
        <v>407</v>
      </c>
    </row>
    <row r="212" spans="1:8" ht="12.75">
      <c r="A212" s="5" t="s">
        <v>68</v>
      </c>
      <c r="B212" s="5" t="s">
        <v>419</v>
      </c>
      <c r="C212" s="5" t="s">
        <v>108</v>
      </c>
      <c r="D212" s="5" t="s">
        <v>209</v>
      </c>
      <c r="E212" s="5" t="s">
        <v>383</v>
      </c>
      <c r="F212" s="5" t="s">
        <v>374</v>
      </c>
      <c r="G212" s="17">
        <v>6.881</v>
      </c>
      <c r="H212" s="30" t="s">
        <v>407</v>
      </c>
    </row>
    <row r="213" spans="1:8" ht="12.75">
      <c r="A213" s="5" t="s">
        <v>69</v>
      </c>
      <c r="B213" s="5" t="s">
        <v>419</v>
      </c>
      <c r="C213" s="5" t="s">
        <v>109</v>
      </c>
      <c r="D213" s="5" t="s">
        <v>210</v>
      </c>
      <c r="E213" s="5" t="s">
        <v>383</v>
      </c>
      <c r="F213" s="5" t="s">
        <v>374</v>
      </c>
      <c r="G213" s="17">
        <v>6.881</v>
      </c>
      <c r="H213" s="30" t="s">
        <v>407</v>
      </c>
    </row>
    <row r="215" ht="11.25" customHeight="1">
      <c r="A215" s="10" t="s">
        <v>70</v>
      </c>
    </row>
    <row r="216" spans="1:7" ht="12.75">
      <c r="A216" s="65"/>
      <c r="B216" s="66"/>
      <c r="C216" s="66"/>
      <c r="D216" s="66"/>
      <c r="E216" s="66"/>
      <c r="F216" s="66"/>
      <c r="G216" s="66"/>
    </row>
  </sheetData>
  <sheetProtection/>
  <mergeCells count="18">
    <mergeCell ref="A1:H1"/>
    <mergeCell ref="A2:B3"/>
    <mergeCell ref="C2:D3"/>
    <mergeCell ref="E2:E3"/>
    <mergeCell ref="F2:H3"/>
    <mergeCell ref="A4:B5"/>
    <mergeCell ref="C4:D5"/>
    <mergeCell ref="E4:E5"/>
    <mergeCell ref="F4:H5"/>
    <mergeCell ref="A216:G216"/>
    <mergeCell ref="A6:B7"/>
    <mergeCell ref="C6:D7"/>
    <mergeCell ref="E6:E7"/>
    <mergeCell ref="F6:H7"/>
    <mergeCell ref="A8:B9"/>
    <mergeCell ref="C8:D9"/>
    <mergeCell ref="E8:E9"/>
    <mergeCell ref="F8:H9"/>
  </mergeCells>
  <printOptions/>
  <pageMargins left="0.394" right="0.394" top="0.591" bottom="0.591" header="0.5" footer="0.5"/>
  <pageSetup fitToHeight="0" fitToWidth="1" horizontalDpi="600" verticalDpi="6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PageLayoutView="0" workbookViewId="0" topLeftCell="A61">
      <selection activeCell="A1" sqref="A1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2.8515625" style="0" customWidth="1"/>
    <col min="9" max="9" width="22.8515625" style="0" customWidth="1"/>
  </cols>
  <sheetData>
    <row r="1" spans="1:9" ht="72.75" customHeight="1">
      <c r="A1" s="64"/>
      <c r="B1" s="8"/>
      <c r="C1" s="133" t="s">
        <v>485</v>
      </c>
      <c r="D1" s="101"/>
      <c r="E1" s="101"/>
      <c r="F1" s="101"/>
      <c r="G1" s="101"/>
      <c r="H1" s="101"/>
      <c r="I1" s="101"/>
    </row>
    <row r="2" spans="1:10" ht="12.75">
      <c r="A2" s="102" t="s">
        <v>1</v>
      </c>
      <c r="B2" s="103"/>
      <c r="C2" s="104" t="str">
        <f>'Stavební rozpočet'!C2</f>
        <v>VÝMĚNA OKEN A VCHODOVÝCH DVEŘÍ,</v>
      </c>
      <c r="D2" s="74"/>
      <c r="E2" s="107" t="s">
        <v>390</v>
      </c>
      <c r="F2" s="107" t="str">
        <f>'Stavební rozpočet'!I2</f>
        <v>MĚSTO DOLNÍ POUSTEVNA</v>
      </c>
      <c r="G2" s="103"/>
      <c r="H2" s="107" t="s">
        <v>511</v>
      </c>
      <c r="I2" s="134"/>
      <c r="J2" s="33"/>
    </row>
    <row r="3" spans="1:10" ht="12.75">
      <c r="A3" s="99"/>
      <c r="B3" s="66"/>
      <c r="C3" s="105"/>
      <c r="D3" s="105"/>
      <c r="E3" s="66"/>
      <c r="F3" s="66"/>
      <c r="G3" s="66"/>
      <c r="H3" s="66"/>
      <c r="I3" s="97"/>
      <c r="J3" s="33"/>
    </row>
    <row r="4" spans="1:10" ht="12.75">
      <c r="A4" s="92" t="s">
        <v>2</v>
      </c>
      <c r="B4" s="66"/>
      <c r="C4" s="65" t="str">
        <f>'Stavební rozpočet'!C4</f>
        <v>ÚPRAVA VESTIBULU A VNITŘNÍ MALBY</v>
      </c>
      <c r="D4" s="66"/>
      <c r="E4" s="65" t="s">
        <v>391</v>
      </c>
      <c r="F4" s="65" t="str">
        <f>'Stavební rozpočet'!I4</f>
        <v>PK HOŠEK</v>
      </c>
      <c r="G4" s="66"/>
      <c r="H4" s="65" t="s">
        <v>511</v>
      </c>
      <c r="I4" s="132"/>
      <c r="J4" s="33"/>
    </row>
    <row r="5" spans="1:10" ht="12.75">
      <c r="A5" s="99"/>
      <c r="B5" s="66"/>
      <c r="C5" s="66"/>
      <c r="D5" s="66"/>
      <c r="E5" s="66"/>
      <c r="F5" s="66"/>
      <c r="G5" s="66"/>
      <c r="H5" s="66"/>
      <c r="I5" s="97"/>
      <c r="J5" s="33"/>
    </row>
    <row r="6" spans="1:10" ht="12.75">
      <c r="A6" s="92" t="s">
        <v>3</v>
      </c>
      <c r="B6" s="66"/>
      <c r="C6" s="65" t="str">
        <f>'Stavební rozpočet'!C6</f>
        <v>ZŠ DOLNÍ POUSTEVNA Č.P.142</v>
      </c>
      <c r="D6" s="66"/>
      <c r="E6" s="65" t="s">
        <v>392</v>
      </c>
      <c r="F6" s="65" t="str">
        <f>'Stavební rozpočet'!I6</f>
        <v>BUDE VYBRÁN</v>
      </c>
      <c r="G6" s="66"/>
      <c r="H6" s="65" t="s">
        <v>511</v>
      </c>
      <c r="I6" s="132"/>
      <c r="J6" s="33"/>
    </row>
    <row r="7" spans="1:10" ht="12.75">
      <c r="A7" s="99"/>
      <c r="B7" s="66"/>
      <c r="C7" s="66"/>
      <c r="D7" s="66"/>
      <c r="E7" s="66"/>
      <c r="F7" s="66"/>
      <c r="G7" s="66"/>
      <c r="H7" s="66"/>
      <c r="I7" s="97"/>
      <c r="J7" s="33"/>
    </row>
    <row r="8" spans="1:10" ht="12.75">
      <c r="A8" s="92" t="s">
        <v>376</v>
      </c>
      <c r="B8" s="66"/>
      <c r="C8" s="65" t="str">
        <f>'Stavební rozpočet'!F4</f>
        <v> </v>
      </c>
      <c r="D8" s="66"/>
      <c r="E8" s="65" t="s">
        <v>377</v>
      </c>
      <c r="F8" s="65" t="str">
        <f>'Stavební rozpočet'!F6</f>
        <v> </v>
      </c>
      <c r="G8" s="66"/>
      <c r="H8" s="96" t="s">
        <v>512</v>
      </c>
      <c r="I8" s="132" t="s">
        <v>69</v>
      </c>
      <c r="J8" s="33"/>
    </row>
    <row r="9" spans="1:10" ht="12.75">
      <c r="A9" s="99"/>
      <c r="B9" s="66"/>
      <c r="C9" s="66"/>
      <c r="D9" s="66"/>
      <c r="E9" s="66"/>
      <c r="F9" s="66"/>
      <c r="G9" s="66"/>
      <c r="H9" s="66"/>
      <c r="I9" s="97"/>
      <c r="J9" s="33"/>
    </row>
    <row r="10" spans="1:10" ht="12.75">
      <c r="A10" s="92" t="s">
        <v>4</v>
      </c>
      <c r="B10" s="66"/>
      <c r="C10" s="65">
        <f>'Stavební rozpočet'!C8</f>
        <v>0</v>
      </c>
      <c r="D10" s="66"/>
      <c r="E10" s="65" t="s">
        <v>393</v>
      </c>
      <c r="F10" s="65" t="str">
        <f>'Stavební rozpočet'!I8</f>
        <v>IIČVDF</v>
      </c>
      <c r="G10" s="66"/>
      <c r="H10" s="96" t="s">
        <v>513</v>
      </c>
      <c r="I10" s="130" t="str">
        <f>'Stavební rozpočet'!F8</f>
        <v>05.03.2018</v>
      </c>
      <c r="J10" s="33"/>
    </row>
    <row r="11" spans="1:10" ht="12.75">
      <c r="A11" s="128"/>
      <c r="B11" s="129"/>
      <c r="C11" s="129"/>
      <c r="D11" s="129"/>
      <c r="E11" s="129"/>
      <c r="F11" s="129"/>
      <c r="G11" s="129"/>
      <c r="H11" s="129"/>
      <c r="I11" s="131"/>
      <c r="J11" s="33"/>
    </row>
    <row r="12" spans="1:9" ht="23.25" customHeight="1">
      <c r="A12" s="124" t="s">
        <v>470</v>
      </c>
      <c r="B12" s="125"/>
      <c r="C12" s="125"/>
      <c r="D12" s="125"/>
      <c r="E12" s="125"/>
      <c r="F12" s="125"/>
      <c r="G12" s="125"/>
      <c r="H12" s="125"/>
      <c r="I12" s="125"/>
    </row>
    <row r="13" spans="1:10" ht="26.25" customHeight="1">
      <c r="A13" s="48" t="s">
        <v>471</v>
      </c>
      <c r="B13" s="126" t="s">
        <v>483</v>
      </c>
      <c r="C13" s="127"/>
      <c r="D13" s="48" t="s">
        <v>486</v>
      </c>
      <c r="E13" s="126" t="s">
        <v>496</v>
      </c>
      <c r="F13" s="127"/>
      <c r="G13" s="48" t="s">
        <v>497</v>
      </c>
      <c r="H13" s="126" t="s">
        <v>514</v>
      </c>
      <c r="I13" s="127"/>
      <c r="J13" s="33"/>
    </row>
    <row r="14" spans="1:10" ht="15" customHeight="1">
      <c r="A14" s="49" t="s">
        <v>472</v>
      </c>
      <c r="B14" s="53" t="s">
        <v>484</v>
      </c>
      <c r="C14" s="57">
        <f>SUM('Stavební rozpočet'!AB12:AB295)</f>
        <v>0</v>
      </c>
      <c r="D14" s="122" t="s">
        <v>487</v>
      </c>
      <c r="E14" s="123"/>
      <c r="F14" s="57">
        <v>0</v>
      </c>
      <c r="G14" s="122" t="s">
        <v>498</v>
      </c>
      <c r="H14" s="123"/>
      <c r="I14" s="57">
        <v>0</v>
      </c>
      <c r="J14" s="33"/>
    </row>
    <row r="15" spans="1:10" ht="15" customHeight="1">
      <c r="A15" s="50"/>
      <c r="B15" s="53" t="s">
        <v>403</v>
      </c>
      <c r="C15" s="57">
        <f>SUM('Stavební rozpočet'!AC12:AC295)</f>
        <v>0</v>
      </c>
      <c r="D15" s="122" t="s">
        <v>488</v>
      </c>
      <c r="E15" s="123"/>
      <c r="F15" s="57">
        <v>0</v>
      </c>
      <c r="G15" s="122" t="s">
        <v>499</v>
      </c>
      <c r="H15" s="123"/>
      <c r="I15" s="57">
        <v>0</v>
      </c>
      <c r="J15" s="33"/>
    </row>
    <row r="16" spans="1:10" ht="15" customHeight="1">
      <c r="A16" s="49" t="s">
        <v>473</v>
      </c>
      <c r="B16" s="53" t="s">
        <v>484</v>
      </c>
      <c r="C16" s="57">
        <f>SUM('Stavební rozpočet'!AD12:AD295)</f>
        <v>0</v>
      </c>
      <c r="D16" s="122" t="s">
        <v>489</v>
      </c>
      <c r="E16" s="123"/>
      <c r="F16" s="57">
        <v>0</v>
      </c>
      <c r="G16" s="122" t="s">
        <v>500</v>
      </c>
      <c r="H16" s="123"/>
      <c r="I16" s="57">
        <v>0</v>
      </c>
      <c r="J16" s="33"/>
    </row>
    <row r="17" spans="1:10" ht="15" customHeight="1">
      <c r="A17" s="50"/>
      <c r="B17" s="53" t="s">
        <v>403</v>
      </c>
      <c r="C17" s="57">
        <f>SUM('Stavební rozpočet'!AE12:AE295)</f>
        <v>0</v>
      </c>
      <c r="D17" s="122" t="s">
        <v>490</v>
      </c>
      <c r="E17" s="123"/>
      <c r="F17" s="57">
        <v>0</v>
      </c>
      <c r="G17" s="122" t="s">
        <v>501</v>
      </c>
      <c r="H17" s="123"/>
      <c r="I17" s="57">
        <v>0</v>
      </c>
      <c r="J17" s="33"/>
    </row>
    <row r="18" spans="1:10" ht="15" customHeight="1">
      <c r="A18" s="49" t="s">
        <v>474</v>
      </c>
      <c r="B18" s="53" t="s">
        <v>484</v>
      </c>
      <c r="C18" s="57">
        <f>SUM('Stavební rozpočet'!AF12:AF295)</f>
        <v>0</v>
      </c>
      <c r="D18" s="122"/>
      <c r="E18" s="123"/>
      <c r="F18" s="58"/>
      <c r="G18" s="122" t="s">
        <v>502</v>
      </c>
      <c r="H18" s="123"/>
      <c r="I18" s="57">
        <v>0</v>
      </c>
      <c r="J18" s="33"/>
    </row>
    <row r="19" spans="1:10" ht="15" customHeight="1">
      <c r="A19" s="50"/>
      <c r="B19" s="53" t="s">
        <v>403</v>
      </c>
      <c r="C19" s="57">
        <f>SUM('Stavební rozpočet'!AG12:AG295)</f>
        <v>150000</v>
      </c>
      <c r="D19" s="122"/>
      <c r="E19" s="123"/>
      <c r="F19" s="58"/>
      <c r="G19" s="122" t="s">
        <v>503</v>
      </c>
      <c r="H19" s="123"/>
      <c r="I19" s="57">
        <v>0</v>
      </c>
      <c r="J19" s="33"/>
    </row>
    <row r="20" spans="1:10" ht="15" customHeight="1">
      <c r="A20" s="120" t="s">
        <v>475</v>
      </c>
      <c r="B20" s="121"/>
      <c r="C20" s="57">
        <f>SUM('Stavební rozpočet'!AH12:AH295)</f>
        <v>0</v>
      </c>
      <c r="D20" s="122"/>
      <c r="E20" s="123"/>
      <c r="F20" s="58"/>
      <c r="G20" s="122"/>
      <c r="H20" s="123"/>
      <c r="I20" s="58"/>
      <c r="J20" s="33"/>
    </row>
    <row r="21" spans="1:10" ht="15" customHeight="1">
      <c r="A21" s="120" t="s">
        <v>476</v>
      </c>
      <c r="B21" s="121"/>
      <c r="C21" s="57">
        <f>SUM('Stavební rozpočet'!Z12:Z295)</f>
        <v>0</v>
      </c>
      <c r="D21" s="122"/>
      <c r="E21" s="123"/>
      <c r="F21" s="58"/>
      <c r="G21" s="122"/>
      <c r="H21" s="123"/>
      <c r="I21" s="58"/>
      <c r="J21" s="33"/>
    </row>
    <row r="22" spans="1:10" ht="16.5" customHeight="1">
      <c r="A22" s="120" t="s">
        <v>477</v>
      </c>
      <c r="B22" s="121"/>
      <c r="C22" s="57">
        <f>SUM(C14:C21)</f>
        <v>150000</v>
      </c>
      <c r="D22" s="120" t="s">
        <v>491</v>
      </c>
      <c r="E22" s="121"/>
      <c r="F22" s="57">
        <f>SUM(F14:F21)</f>
        <v>0</v>
      </c>
      <c r="G22" s="120" t="s">
        <v>504</v>
      </c>
      <c r="H22" s="121"/>
      <c r="I22" s="57">
        <f>SUM(I14:I21)</f>
        <v>0</v>
      </c>
      <c r="J22" s="33"/>
    </row>
    <row r="23" spans="1:10" ht="15" customHeight="1">
      <c r="A23" s="9"/>
      <c r="B23" s="9"/>
      <c r="C23" s="55"/>
      <c r="D23" s="120" t="s">
        <v>492</v>
      </c>
      <c r="E23" s="121"/>
      <c r="F23" s="59">
        <v>0</v>
      </c>
      <c r="G23" s="120" t="s">
        <v>505</v>
      </c>
      <c r="H23" s="121"/>
      <c r="I23" s="57">
        <v>0</v>
      </c>
      <c r="J23" s="33"/>
    </row>
    <row r="24" spans="4:9" ht="15" customHeight="1">
      <c r="D24" s="9"/>
      <c r="E24" s="9"/>
      <c r="F24" s="60"/>
      <c r="G24" s="120" t="s">
        <v>506</v>
      </c>
      <c r="H24" s="121"/>
      <c r="I24" s="62"/>
    </row>
    <row r="25" spans="6:10" ht="15" customHeight="1">
      <c r="F25" s="61"/>
      <c r="G25" s="120" t="s">
        <v>507</v>
      </c>
      <c r="H25" s="121"/>
      <c r="I25" s="57">
        <v>0</v>
      </c>
      <c r="J25" s="33"/>
    </row>
    <row r="26" spans="1:9" ht="12.75">
      <c r="A26" s="8"/>
      <c r="B26" s="8"/>
      <c r="C26" s="8"/>
      <c r="G26" s="9"/>
      <c r="H26" s="9"/>
      <c r="I26" s="9"/>
    </row>
    <row r="27" spans="1:9" ht="15" customHeight="1">
      <c r="A27" s="115" t="s">
        <v>478</v>
      </c>
      <c r="B27" s="116"/>
      <c r="C27" s="63">
        <f>SUM('Stavební rozpočet'!AJ12:AJ295)</f>
        <v>0</v>
      </c>
      <c r="D27" s="56"/>
      <c r="E27" s="8"/>
      <c r="F27" s="8"/>
      <c r="G27" s="8"/>
      <c r="H27" s="8"/>
      <c r="I27" s="8"/>
    </row>
    <row r="28" spans="1:10" ht="15" customHeight="1">
      <c r="A28" s="115" t="s">
        <v>479</v>
      </c>
      <c r="B28" s="116"/>
      <c r="C28" s="63">
        <f>SUM('Stavební rozpočet'!AK12:AK295)</f>
        <v>0</v>
      </c>
      <c r="D28" s="115" t="s">
        <v>493</v>
      </c>
      <c r="E28" s="116"/>
      <c r="F28" s="63">
        <f>ROUND(C28*(15/100),2)</f>
        <v>0</v>
      </c>
      <c r="G28" s="115" t="s">
        <v>508</v>
      </c>
      <c r="H28" s="116"/>
      <c r="I28" s="63">
        <f>SUM(C27:C29)</f>
        <v>150000</v>
      </c>
      <c r="J28" s="33"/>
    </row>
    <row r="29" spans="1:10" ht="15" customHeight="1">
      <c r="A29" s="115" t="s">
        <v>480</v>
      </c>
      <c r="B29" s="116"/>
      <c r="C29" s="63">
        <f>SUM('Stavební rozpočet'!AL12:AL295)+(F22+I22+F23+I23+I24+I25)</f>
        <v>150000</v>
      </c>
      <c r="D29" s="115" t="s">
        <v>494</v>
      </c>
      <c r="E29" s="116"/>
      <c r="F29" s="63">
        <f>ROUND(C29*(21/100),2)</f>
        <v>31500</v>
      </c>
      <c r="G29" s="115" t="s">
        <v>509</v>
      </c>
      <c r="H29" s="116"/>
      <c r="I29" s="63">
        <f>SUM(F28:F29)+I28</f>
        <v>181500</v>
      </c>
      <c r="J29" s="33"/>
    </row>
    <row r="30" spans="1:9" ht="12.75">
      <c r="A30" s="51"/>
      <c r="B30" s="51"/>
      <c r="C30" s="51"/>
      <c r="D30" s="51"/>
      <c r="E30" s="51"/>
      <c r="F30" s="51"/>
      <c r="G30" s="51"/>
      <c r="H30" s="51"/>
      <c r="I30" s="51"/>
    </row>
    <row r="31" spans="1:10" ht="14.25" customHeight="1">
      <c r="A31" s="117" t="s">
        <v>481</v>
      </c>
      <c r="B31" s="118"/>
      <c r="C31" s="119"/>
      <c r="D31" s="117" t="s">
        <v>495</v>
      </c>
      <c r="E31" s="118"/>
      <c r="F31" s="119"/>
      <c r="G31" s="117" t="s">
        <v>510</v>
      </c>
      <c r="H31" s="118"/>
      <c r="I31" s="119"/>
      <c r="J31" s="34"/>
    </row>
    <row r="32" spans="1:10" ht="14.25" customHeight="1">
      <c r="A32" s="109"/>
      <c r="B32" s="110"/>
      <c r="C32" s="111"/>
      <c r="D32" s="109"/>
      <c r="E32" s="110"/>
      <c r="F32" s="111"/>
      <c r="G32" s="109"/>
      <c r="H32" s="110"/>
      <c r="I32" s="111"/>
      <c r="J32" s="34"/>
    </row>
    <row r="33" spans="1:10" ht="14.25" customHeight="1">
      <c r="A33" s="109"/>
      <c r="B33" s="110"/>
      <c r="C33" s="111"/>
      <c r="D33" s="109"/>
      <c r="E33" s="110"/>
      <c r="F33" s="111"/>
      <c r="G33" s="109"/>
      <c r="H33" s="110"/>
      <c r="I33" s="111"/>
      <c r="J33" s="34"/>
    </row>
    <row r="34" spans="1:10" ht="14.25" customHeight="1">
      <c r="A34" s="109"/>
      <c r="B34" s="110"/>
      <c r="C34" s="111"/>
      <c r="D34" s="109"/>
      <c r="E34" s="110"/>
      <c r="F34" s="111"/>
      <c r="G34" s="109"/>
      <c r="H34" s="110"/>
      <c r="I34" s="111"/>
      <c r="J34" s="34"/>
    </row>
    <row r="35" spans="1:10" ht="14.25" customHeight="1">
      <c r="A35" s="112" t="s">
        <v>482</v>
      </c>
      <c r="B35" s="113"/>
      <c r="C35" s="114"/>
      <c r="D35" s="112" t="s">
        <v>482</v>
      </c>
      <c r="E35" s="113"/>
      <c r="F35" s="114"/>
      <c r="G35" s="112" t="s">
        <v>482</v>
      </c>
      <c r="H35" s="113"/>
      <c r="I35" s="114"/>
      <c r="J35" s="34"/>
    </row>
    <row r="36" spans="1:9" ht="11.25" customHeight="1">
      <c r="A36" s="52" t="s">
        <v>70</v>
      </c>
      <c r="B36" s="54"/>
      <c r="C36" s="54"/>
      <c r="D36" s="54"/>
      <c r="E36" s="54"/>
      <c r="F36" s="54"/>
      <c r="G36" s="54"/>
      <c r="H36" s="54"/>
      <c r="I36" s="54"/>
    </row>
    <row r="37" spans="1:9" ht="12.75">
      <c r="A37" s="65"/>
      <c r="B37" s="66"/>
      <c r="C37" s="66"/>
      <c r="D37" s="66"/>
      <c r="E37" s="66"/>
      <c r="F37" s="66"/>
      <c r="G37" s="66"/>
      <c r="H37" s="66"/>
      <c r="I37" s="66"/>
    </row>
  </sheetData>
  <sheetProtection/>
  <mergeCells count="83">
    <mergeCell ref="C1:I1"/>
    <mergeCell ref="A2:B3"/>
    <mergeCell ref="C2:D3"/>
    <mergeCell ref="E2:E3"/>
    <mergeCell ref="F2:G3"/>
    <mergeCell ref="H2:H3"/>
    <mergeCell ref="I2:I3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6:I7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I10:I11"/>
    <mergeCell ref="A12:I12"/>
    <mergeCell ref="B13:C13"/>
    <mergeCell ref="E13:F13"/>
    <mergeCell ref="H13:I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A20:B20"/>
    <mergeCell ref="D20:E20"/>
    <mergeCell ref="G20:H20"/>
    <mergeCell ref="A21:B21"/>
    <mergeCell ref="D21:E21"/>
    <mergeCell ref="G21:H21"/>
    <mergeCell ref="A22:B22"/>
    <mergeCell ref="D22:E22"/>
    <mergeCell ref="G22:H22"/>
    <mergeCell ref="D23:E23"/>
    <mergeCell ref="G23:H23"/>
    <mergeCell ref="G24:H24"/>
    <mergeCell ref="G25:H25"/>
    <mergeCell ref="A27:B27"/>
    <mergeCell ref="A28:B28"/>
    <mergeCell ref="D28:E28"/>
    <mergeCell ref="G28:H28"/>
    <mergeCell ref="A29:B29"/>
    <mergeCell ref="D29:E29"/>
    <mergeCell ref="G29:H29"/>
    <mergeCell ref="A31:C31"/>
    <mergeCell ref="D31:F31"/>
    <mergeCell ref="G31:I31"/>
    <mergeCell ref="A32:C32"/>
    <mergeCell ref="D32:F32"/>
    <mergeCell ref="G32:I32"/>
    <mergeCell ref="A33:C33"/>
    <mergeCell ref="D33:F33"/>
    <mergeCell ref="G33:I33"/>
    <mergeCell ref="A37:I37"/>
    <mergeCell ref="A34:C34"/>
    <mergeCell ref="D34:F34"/>
    <mergeCell ref="G34:I34"/>
    <mergeCell ref="A35:C35"/>
    <mergeCell ref="D35:F35"/>
    <mergeCell ref="G35:I35"/>
  </mergeCells>
  <printOptions/>
  <pageMargins left="0.394" right="0.394" top="0.591" bottom="0.591" header="0.5" footer="0.5"/>
  <pageSetup fitToHeight="1" fitToWidth="1"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pc1</cp:lastModifiedBy>
  <dcterms:modified xsi:type="dcterms:W3CDTF">2019-07-23T07:02:41Z</dcterms:modified>
  <cp:category/>
  <cp:version/>
  <cp:contentType/>
  <cp:contentStatus/>
</cp:coreProperties>
</file>